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drawings/drawing2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15480" windowHeight="11640" firstSheet="4" activeTab="4"/>
  </bookViews>
  <sheets>
    <sheet name="曲線Lever計算" sheetId="1" state="hidden" r:id="rId1"/>
    <sheet name="CO表單" sheetId="5" state="hidden" r:id="rId2"/>
    <sheet name="LCO表單" sheetId="4" state="hidden" r:id="rId3"/>
    <sheet name="协调曲线图" sheetId="6" state="hidden" r:id="rId4"/>
    <sheet name="曲线" sheetId="7" r:id="rId5"/>
  </sheets>
  <definedNames>
    <definedName name="_IIT01">协调曲线图!$Y$9</definedName>
    <definedName name="_IIT02">协调曲线图!$Y$16</definedName>
    <definedName name="_IIT03">协调曲线图!$Y$23</definedName>
    <definedName name="_IIT04">协调曲线图!$Y$30</definedName>
    <definedName name="_IIT05">协调曲线图!$Y$37</definedName>
    <definedName name="_IIT06">协调曲线图!$Y$44</definedName>
    <definedName name="_Tc1">ROUND((cokva1*(L百分1/100))/(SQRT(3)*covt1*一次側1),2)</definedName>
    <definedName name="_Tc2">ROUND((cokva2*(L百分2/100))/(SQRT(3)*covt2*一次側2),2)</definedName>
    <definedName name="_Tc3">ROUND((cokva3*(L百分3/100))/(SQRT(3)*covt3*一次側3),2)</definedName>
    <definedName name="_Tc4">ROUND((cokva4*(L百分4/100))/(SQRT(3)*covt4*一次側4),2)</definedName>
    <definedName name="_Tc5">ROUND((cokva5*(L百分5/100))/(SQRT(3)*covt5*一次側5),2)</definedName>
    <definedName name="_Tc6">ROUND((cokva6*(L百分6/100))/(SQRT(3)*covt6*一次側6),2)</definedName>
    <definedName name="_Ts01">协调曲线图!$Y$7</definedName>
    <definedName name="_Ts02">协调曲线图!$Y$14</definedName>
    <definedName name="_Ts03">协调曲线图!$Y$21</definedName>
    <definedName name="_Ts04">协调曲线图!$Y$28</definedName>
    <definedName name="_Ts05">协调曲线图!$Y$35</definedName>
    <definedName name="_Ts06">协调曲线图!$Y$42</definedName>
    <definedName name="_Ts1">协调曲线图!$V$7</definedName>
    <definedName name="_Ts2">协调曲线图!$V$14</definedName>
    <definedName name="_Ts3">协调曲线图!$V$21</definedName>
    <definedName name="_Ts4">协调曲线图!$V$28</definedName>
    <definedName name="_Ts5">协调曲线图!$V$35</definedName>
    <definedName name="_Ts6">协调曲线图!$V$42</definedName>
    <definedName name="alfa01">曲線Lever計算!$D$6</definedName>
    <definedName name="alfa02">曲線Lever計算!$I$6</definedName>
    <definedName name="alfa03">曲線Lever計算!$N$6</definedName>
    <definedName name="alfa04">曲線Lever計算!$S$6</definedName>
    <definedName name="alfa05">曲線Lever計算!$X$6</definedName>
    <definedName name="alfa06">曲線Lever計算!$AC$6</definedName>
    <definedName name="alfa1">曲線Lever計算!$D$5</definedName>
    <definedName name="alfa2">曲線Lever計算!$I$5</definedName>
    <definedName name="alfa3">曲線Lever計算!$N$5</definedName>
    <definedName name="alfa4">曲線Lever計算!$S$5</definedName>
    <definedName name="alfa5">曲線Lever計算!$X$5</definedName>
    <definedName name="alfa6">曲線Lever計算!$AC$5</definedName>
    <definedName name="beta01">曲線Lever計算!$E$6</definedName>
    <definedName name="beta02">曲線Lever計算!$J$6</definedName>
    <definedName name="beta03">曲線Lever計算!$O$6</definedName>
    <definedName name="beta04">曲線Lever計算!$T$6</definedName>
    <definedName name="beta05">曲線Lever計算!$Y$6</definedName>
    <definedName name="beta06">曲線Lever計算!$AD$6</definedName>
    <definedName name="beta1">曲線Lever計算!$E$5</definedName>
    <definedName name="beta2">曲線Lever計算!$J$5</definedName>
    <definedName name="beta3">曲線Lever計算!$O$5</definedName>
    <definedName name="beta4">曲線Lever計算!$T$5</definedName>
    <definedName name="beta5">曲線Lever計算!$Y$5</definedName>
    <definedName name="beta6">曲線Lever計算!$AD$5</definedName>
    <definedName name="cokva1">协调曲线图!$T$5</definedName>
    <definedName name="cokva2">协调曲线图!$T$12</definedName>
    <definedName name="cokva3">协调曲线图!$T$19</definedName>
    <definedName name="cokva4">协调曲线图!$T$26</definedName>
    <definedName name="cokva5">协调曲线图!$T$33</definedName>
    <definedName name="cokva6">协调曲线图!$T$40</definedName>
    <definedName name="coname1">协调曲线图!$S$5</definedName>
    <definedName name="coname2">协调曲线图!$S$12</definedName>
    <definedName name="coname3">协调曲线图!$S$19</definedName>
    <definedName name="coname4">协调曲线图!$S$26</definedName>
    <definedName name="coname5">协调曲线图!$S$33</definedName>
    <definedName name="coname6">协调曲线图!$S$40</definedName>
    <definedName name="covb1">协调曲线图!$U$5</definedName>
    <definedName name="covb2">协调曲线图!$U$12</definedName>
    <definedName name="covb3">协调曲线图!$U$19</definedName>
    <definedName name="covb4">协调曲线图!$U$26</definedName>
    <definedName name="covb5">协调曲线图!$U$33</definedName>
    <definedName name="covb6">协调曲线图!$U$40</definedName>
    <definedName name="covt1">协调曲线图!$V$5</definedName>
    <definedName name="covt2">协调曲线图!$V$12</definedName>
    <definedName name="covt3">协调曲线图!$V$19</definedName>
    <definedName name="covt4">协调曲线图!$V$26</definedName>
    <definedName name="covt5">协调曲线图!$V$33</definedName>
    <definedName name="covt6">协调曲线图!$V$40</definedName>
    <definedName name="inrush1">协调曲线图!#REF!</definedName>
    <definedName name="inrush2">协调曲线图!#REF!</definedName>
    <definedName name="inrush3">协调曲线图!#REF!</definedName>
    <definedName name="inrush4">协调曲线图!#REF!</definedName>
    <definedName name="inrush5">协调曲线图!#REF!</definedName>
    <definedName name="inrush6">协调曲线图!$U$24</definedName>
    <definedName name="Is0five">_Ts05*一次側5</definedName>
    <definedName name="Is0four">_Ts04*一次側4</definedName>
    <definedName name="Is0one">_Ts01*一次側1</definedName>
    <definedName name="Is0six">_Ts06*一次側6</definedName>
    <definedName name="Is0three">_Ts03*一次側3</definedName>
    <definedName name="Is0two">_Ts02*一次側2</definedName>
    <definedName name="Isfive">_Ts5</definedName>
    <definedName name="Isfour">_Ts4</definedName>
    <definedName name="Isone">_Ts1</definedName>
    <definedName name="Issix">_Ts6</definedName>
    <definedName name="Isthree">_Ts3</definedName>
    <definedName name="Istwo">_Ts2</definedName>
    <definedName name="k0five">曲線Lever計算!$V$6</definedName>
    <definedName name="k0four">曲線Lever計算!$Q$6</definedName>
    <definedName name="k0one">曲線Lever計算!$B$6</definedName>
    <definedName name="k0six">曲線Lever計算!$AA$6</definedName>
    <definedName name="k0three">曲線Lever計算!$L$6</definedName>
    <definedName name="k0two">曲線Lever計算!$G$6</definedName>
    <definedName name="kfive">曲線Lever計算!$V$5</definedName>
    <definedName name="kfour">曲線Lever計算!$Q$5</definedName>
    <definedName name="kone">曲線Lever計算!$B$5</definedName>
    <definedName name="ksix">曲線Lever計算!$AA$5</definedName>
    <definedName name="kthree">曲線Lever計算!$L$5</definedName>
    <definedName name="ktwo">曲線Lever計算!$G$5</definedName>
    <definedName name="Lco瞬跳電流1">_IIT01*一次側1</definedName>
    <definedName name="Lco瞬跳電流2">_IIT02*一次側2</definedName>
    <definedName name="Lco瞬跳電流3">_IIT03*一次側3</definedName>
    <definedName name="Lco瞬跳電流4">_IIT04*一次側4</definedName>
    <definedName name="Lco瞬跳電流5">_IIT05*一次側5</definedName>
    <definedName name="Lco瞬跳電流6">_IIT06*一次側6</definedName>
    <definedName name="Lco瞬跳時間1">LCO表單!$D$39</definedName>
    <definedName name="Lco瞬跳時間2">LCO表單!$D$83</definedName>
    <definedName name="Lco瞬跳時間3">LCO表單!$D$127</definedName>
    <definedName name="Lco瞬跳時間4">LCO表單!$D$171</definedName>
    <definedName name="Lco瞬跳時間5">LCO表單!$D$215</definedName>
    <definedName name="Lco瞬跳時間6">LCO表單!$D$259</definedName>
    <definedName name="Lever1">协调曲线图!$T$7</definedName>
    <definedName name="Lever2">协调曲线图!$T$14</definedName>
    <definedName name="Lever3">协调曲线图!$T$21</definedName>
    <definedName name="Lever4">协调曲线图!$T$28</definedName>
    <definedName name="Lever5">协调曲线图!$T$35</definedName>
    <definedName name="Lever6">协调曲线图!$T$42</definedName>
    <definedName name="L百分1">协调曲线图!$W$5</definedName>
    <definedName name="L百分2">协调曲线图!$W$12</definedName>
    <definedName name="L百分3">协调曲线图!$W$19</definedName>
    <definedName name="L百分4">协调曲线图!$W$26</definedName>
    <definedName name="L百分5">协调曲线图!$W$33</definedName>
    <definedName name="L百分6">协调曲线图!$W$40</definedName>
    <definedName name="_xlnm.Print_Area" localSheetId="1">CO表單!$B$1:$L$264</definedName>
    <definedName name="_xlnm.Print_Area" localSheetId="2">LCO表單!$B:$L</definedName>
    <definedName name="_xlnm.Print_Area" localSheetId="3">协调曲线图!$B$2:$P$80</definedName>
    <definedName name="t0five">IF(协调曲线图!$X$37=" ",Lever5,协调曲线图!$X$37)</definedName>
    <definedName name="t0four">IF(协调曲线图!$X$30=" ",Lever4,协调曲线图!$X$30)</definedName>
    <definedName name="t0one">IF(协调曲线图!$X$9=" ",Lever1,协调曲线图!$X$9)</definedName>
    <definedName name="t0six">IF(协调曲线图!$X$44=" ",Lever6,协调曲线图!$X$44)</definedName>
    <definedName name="t0three">IF(协调曲线图!$X$23=" ",Lever3,协调曲线图!$X$23)</definedName>
    <definedName name="t0two">IF(协调曲线图!$X$16=" ",Lever2,协调曲线图!$X$16)</definedName>
    <definedName name="tfive">曲線Lever計算!$W$5</definedName>
    <definedName name="tfour">曲線Lever計算!$R$5</definedName>
    <definedName name="tone">曲線Lever計算!$C$5</definedName>
    <definedName name="trkva1">协调曲线图!$T$3</definedName>
    <definedName name="trkva2">协调曲线图!#REF!</definedName>
    <definedName name="trkva3">协调曲线图!#REF!</definedName>
    <definedName name="trkva4">协调曲线图!#REF!</definedName>
    <definedName name="trkva5">协调曲线图!#REF!</definedName>
    <definedName name="trkva6">协调曲线图!#REF!</definedName>
    <definedName name="trname1">协调曲线图!$S$3</definedName>
    <definedName name="trname2">协调曲线图!#REF!</definedName>
    <definedName name="trname3">协调曲线图!#REF!</definedName>
    <definedName name="trname4">协调曲线图!#REF!</definedName>
    <definedName name="trname5">协调曲线图!#REF!</definedName>
    <definedName name="trname6">协调曲线图!#REF!</definedName>
    <definedName name="trvb1">协调曲线图!$U$3</definedName>
    <definedName name="trvb2">协调曲线图!#REF!</definedName>
    <definedName name="trvb3">协调曲线图!#REF!</definedName>
    <definedName name="trvb4">协调曲线图!#REF!</definedName>
    <definedName name="trvb5">协调曲线图!#REF!</definedName>
    <definedName name="trvb6">协调曲线图!#REF!</definedName>
    <definedName name="trvt1">协调曲线图!$V$3</definedName>
    <definedName name="trvt2">协调曲线图!#REF!</definedName>
    <definedName name="trvt3">协调曲线图!#REF!</definedName>
    <definedName name="trvt4">协调曲线图!#REF!</definedName>
    <definedName name="trvt5">协调曲线图!#REF!</definedName>
    <definedName name="trvt6">协调曲线图!#REF!</definedName>
    <definedName name="tsix">曲線Lever計算!$AB$5</definedName>
    <definedName name="tthree">曲線Lever計算!$M$5</definedName>
    <definedName name="ttwo">曲線Lever計算!$H$5</definedName>
    <definedName name="x">#REF!</definedName>
    <definedName name="二次側1">协调曲线图!$Y$5</definedName>
    <definedName name="二次側2">协调曲线图!$Y$12</definedName>
    <definedName name="二次側3">协调曲线图!$Y$19</definedName>
    <definedName name="二次側4">协调曲线图!$Y$26</definedName>
    <definedName name="二次側5">协调曲线图!$Y$33</definedName>
    <definedName name="二次側6">协调曲线图!$Y$40</definedName>
    <definedName name="輸入瞬跳電流1">协调曲线图!$W$7</definedName>
    <definedName name="輸入瞬跳電流2">协调曲线图!$W$14</definedName>
    <definedName name="輸入瞬跳電流3">协调曲线图!$W$21</definedName>
    <definedName name="輸入瞬跳電流4">协调曲线图!$W$28</definedName>
    <definedName name="輸入瞬跳電流5">协调曲线图!$W$35</definedName>
    <definedName name="輸入瞬跳電流6">协调曲线图!$W$42</definedName>
    <definedName name="瞬跳電流1">CO表單!$F$15</definedName>
    <definedName name="瞬跳電流2">CO表單!$F$59</definedName>
    <definedName name="瞬跳電流3">CO表單!$F$103</definedName>
    <definedName name="瞬跳電流4">CO表單!$F$147</definedName>
    <definedName name="瞬跳電流5">CO表單!$F$191</definedName>
    <definedName name="瞬跳電流6">CO表單!$F$235</definedName>
    <definedName name="瞬跳時間1">协调曲线图!$X$7</definedName>
    <definedName name="瞬跳時間2">协调曲线图!$X$14</definedName>
    <definedName name="瞬跳時間3">协调曲线图!$X$21</definedName>
    <definedName name="瞬跳時間4">协调曲线图!$X$28</definedName>
    <definedName name="瞬跳時間5">协调曲线图!$X$35</definedName>
    <definedName name="瞬跳時間6">协调曲线图!$X$42</definedName>
    <definedName name="一次側1">协调曲线图!$X$5</definedName>
    <definedName name="一次側2">协调曲线图!$X$12</definedName>
    <definedName name="一次側3">协调曲线图!$X$19</definedName>
    <definedName name="一次側4">协调曲线图!$X$26</definedName>
    <definedName name="一次側5">协调曲线图!$X$33</definedName>
    <definedName name="一次側6">协调曲线图!$X$40</definedName>
  </definedNames>
  <calcPr calcId="144525"/>
</workbook>
</file>

<file path=xl/calcChain.xml><?xml version="1.0" encoding="utf-8"?>
<calcChain xmlns="http://schemas.openxmlformats.org/spreadsheetml/2006/main">
  <c r="U5" i="6" l="1"/>
  <c r="U7" i="6"/>
  <c r="U12" i="6"/>
  <c r="U14" i="6"/>
  <c r="U19" i="6"/>
  <c r="U21" i="6"/>
  <c r="U26" i="6"/>
  <c r="U28" i="6"/>
  <c r="U33" i="6"/>
  <c r="U35" i="6"/>
  <c r="U40" i="6"/>
  <c r="U42" i="6"/>
  <c r="E62" i="6"/>
  <c r="G62" i="6"/>
  <c r="I62" i="6"/>
  <c r="K62" i="6"/>
  <c r="M62" i="6"/>
  <c r="O62" i="6"/>
  <c r="E63" i="6"/>
  <c r="G63" i="6"/>
  <c r="I63" i="6"/>
  <c r="K63" i="6"/>
  <c r="K74" i="6" s="1"/>
  <c r="M63" i="6"/>
  <c r="O63" i="6"/>
  <c r="E64" i="6"/>
  <c r="G64" i="6"/>
  <c r="I64" i="6"/>
  <c r="K64" i="6"/>
  <c r="M64" i="6"/>
  <c r="O64" i="6"/>
  <c r="E65" i="6"/>
  <c r="G65" i="6"/>
  <c r="I65" i="6"/>
  <c r="K65" i="6"/>
  <c r="M65" i="6"/>
  <c r="O65" i="6"/>
  <c r="E66" i="6"/>
  <c r="G66" i="6"/>
  <c r="I66" i="6"/>
  <c r="K66" i="6"/>
  <c r="M66" i="6"/>
  <c r="O66" i="6"/>
  <c r="E69" i="6"/>
  <c r="G69" i="6"/>
  <c r="I69" i="6"/>
  <c r="K69" i="6"/>
  <c r="M69" i="6"/>
  <c r="O69" i="6"/>
  <c r="E73" i="6"/>
  <c r="G73" i="6"/>
  <c r="I73" i="6"/>
  <c r="K73" i="6"/>
  <c r="M73" i="6"/>
  <c r="O73" i="6"/>
  <c r="E74" i="6"/>
  <c r="G74" i="6"/>
  <c r="I74" i="6"/>
  <c r="M74" i="6"/>
  <c r="O74" i="6"/>
  <c r="E75" i="6"/>
  <c r="G75" i="6"/>
  <c r="I75" i="6"/>
  <c r="K75" i="6"/>
  <c r="M75" i="6"/>
  <c r="O75" i="6"/>
  <c r="E76" i="6"/>
  <c r="G76" i="6"/>
  <c r="I76" i="6"/>
  <c r="K76" i="6"/>
  <c r="M76" i="6"/>
  <c r="O76" i="6"/>
  <c r="E77" i="6"/>
  <c r="G77" i="6"/>
  <c r="I77" i="6"/>
  <c r="K77" i="6"/>
  <c r="M77" i="6"/>
  <c r="O77" i="6"/>
  <c r="E78" i="6"/>
  <c r="G78" i="6"/>
  <c r="I78" i="6"/>
  <c r="K78" i="6"/>
  <c r="M78" i="6"/>
  <c r="O78" i="6"/>
  <c r="B85" i="6"/>
  <c r="D85" i="6"/>
  <c r="F85" i="6"/>
  <c r="D86" i="6"/>
  <c r="F86" i="6"/>
  <c r="D87" i="6"/>
  <c r="F87" i="6"/>
  <c r="D88" i="6"/>
  <c r="F88" i="6"/>
  <c r="D89" i="6"/>
  <c r="F89" i="6"/>
  <c r="D90" i="6"/>
  <c r="F90" i="6"/>
  <c r="E3" i="4"/>
  <c r="F10" i="4"/>
  <c r="G10" i="4"/>
  <c r="H10" i="4"/>
  <c r="F11" i="4"/>
  <c r="F12" i="4"/>
  <c r="F13" i="4"/>
  <c r="G13" i="4"/>
  <c r="H13" i="4"/>
  <c r="F14" i="4"/>
  <c r="F15" i="4"/>
  <c r="F31" i="4" s="1"/>
  <c r="D31" i="4" s="1"/>
  <c r="H17" i="4"/>
  <c r="K17" i="4"/>
  <c r="E18" i="4"/>
  <c r="H18" i="4"/>
  <c r="K18" i="4"/>
  <c r="D40" i="4" s="1"/>
  <c r="E19" i="4"/>
  <c r="F22" i="4"/>
  <c r="D22" i="4" s="1"/>
  <c r="D23" i="4"/>
  <c r="F23" i="4"/>
  <c r="F24" i="4"/>
  <c r="D24" i="4" s="1"/>
  <c r="F25" i="4"/>
  <c r="D25" i="4" s="1"/>
  <c r="F26" i="4"/>
  <c r="D26" i="4" s="1"/>
  <c r="F27" i="4"/>
  <c r="D27" i="4" s="1"/>
  <c r="F28" i="4"/>
  <c r="D28" i="4" s="1"/>
  <c r="F29" i="4"/>
  <c r="D29" i="4" s="1"/>
  <c r="F30" i="4"/>
  <c r="D30" i="4" s="1"/>
  <c r="H31" i="4"/>
  <c r="D35" i="4"/>
  <c r="D36" i="4"/>
  <c r="D37" i="4"/>
  <c r="E47" i="4"/>
  <c r="F54" i="4"/>
  <c r="G54" i="4"/>
  <c r="H54" i="4"/>
  <c r="F55" i="4"/>
  <c r="F56" i="4"/>
  <c r="F57" i="4"/>
  <c r="G57" i="4"/>
  <c r="H57" i="4"/>
  <c r="F58" i="4"/>
  <c r="F59" i="4"/>
  <c r="H63" i="4" s="1"/>
  <c r="D82" i="4" s="1"/>
  <c r="H61" i="4"/>
  <c r="K61" i="4"/>
  <c r="E62" i="4"/>
  <c r="H62" i="4"/>
  <c r="D80" i="4" s="1"/>
  <c r="K62" i="4"/>
  <c r="D84" i="4" s="1"/>
  <c r="E63" i="4"/>
  <c r="F66" i="4"/>
  <c r="D66" i="4" s="1"/>
  <c r="F67" i="4"/>
  <c r="D67" i="4" s="1"/>
  <c r="F68" i="4"/>
  <c r="F69" i="4"/>
  <c r="D69" i="4" s="1"/>
  <c r="D70" i="4"/>
  <c r="F70" i="4"/>
  <c r="F71" i="4"/>
  <c r="F72" i="4"/>
  <c r="D73" i="4"/>
  <c r="F73" i="4"/>
  <c r="F74" i="4"/>
  <c r="F75" i="4"/>
  <c r="D75" i="4" s="1"/>
  <c r="H75" i="4"/>
  <c r="D79" i="4"/>
  <c r="D81" i="4"/>
  <c r="E91" i="4"/>
  <c r="F98" i="4"/>
  <c r="G98" i="4"/>
  <c r="H98" i="4"/>
  <c r="F99" i="4"/>
  <c r="F100" i="4"/>
  <c r="F101" i="4"/>
  <c r="G101" i="4"/>
  <c r="H101" i="4"/>
  <c r="F102" i="4"/>
  <c r="F103" i="4"/>
  <c r="F119" i="4" s="1"/>
  <c r="D119" i="4" s="1"/>
  <c r="H105" i="4"/>
  <c r="K105" i="4"/>
  <c r="E106" i="4"/>
  <c r="H106" i="4"/>
  <c r="K106" i="4"/>
  <c r="E107" i="4"/>
  <c r="F110" i="4"/>
  <c r="D110" i="4" s="1"/>
  <c r="D111" i="4"/>
  <c r="F111" i="4"/>
  <c r="F112" i="4"/>
  <c r="D112" i="4" s="1"/>
  <c r="F113" i="4"/>
  <c r="D113" i="4" s="1"/>
  <c r="D114" i="4"/>
  <c r="F114" i="4"/>
  <c r="F115" i="4"/>
  <c r="D115" i="4" s="1"/>
  <c r="F116" i="4"/>
  <c r="D116" i="4" s="1"/>
  <c r="F117" i="4"/>
  <c r="D117" i="4" s="1"/>
  <c r="F118" i="4"/>
  <c r="D118" i="4" s="1"/>
  <c r="H119" i="4"/>
  <c r="D123" i="4"/>
  <c r="D124" i="4"/>
  <c r="D125" i="4"/>
  <c r="D128" i="4"/>
  <c r="E135" i="4"/>
  <c r="F142" i="4"/>
  <c r="G142" i="4"/>
  <c r="H142" i="4"/>
  <c r="F143" i="4"/>
  <c r="F144" i="4"/>
  <c r="F145" i="4"/>
  <c r="G145" i="4"/>
  <c r="H145" i="4"/>
  <c r="F146" i="4"/>
  <c r="F147" i="4"/>
  <c r="H149" i="4"/>
  <c r="K149" i="4"/>
  <c r="E150" i="4"/>
  <c r="H150" i="4"/>
  <c r="D168" i="4" s="1"/>
  <c r="K150" i="4"/>
  <c r="D172" i="4" s="1"/>
  <c r="E151" i="4"/>
  <c r="F154" i="4"/>
  <c r="D154" i="4" s="1"/>
  <c r="F155" i="4"/>
  <c r="D155" i="4" s="1"/>
  <c r="F156" i="4"/>
  <c r="F157" i="4"/>
  <c r="D157" i="4" s="1"/>
  <c r="F158" i="4"/>
  <c r="D158" i="4" s="1"/>
  <c r="F159" i="4"/>
  <c r="F160" i="4"/>
  <c r="D161" i="4"/>
  <c r="F161" i="4"/>
  <c r="F162" i="4"/>
  <c r="H163" i="4"/>
  <c r="D167" i="4"/>
  <c r="D169" i="4"/>
  <c r="E179" i="4"/>
  <c r="F186" i="4"/>
  <c r="G186" i="4"/>
  <c r="H186" i="4"/>
  <c r="F187" i="4"/>
  <c r="F188" i="4"/>
  <c r="F189" i="4"/>
  <c r="G189" i="4"/>
  <c r="H189" i="4"/>
  <c r="F190" i="4"/>
  <c r="F191" i="4"/>
  <c r="F207" i="4" s="1"/>
  <c r="H193" i="4"/>
  <c r="K193" i="4"/>
  <c r="E194" i="4"/>
  <c r="H194" i="4"/>
  <c r="D212" i="4" s="1"/>
  <c r="K194" i="4"/>
  <c r="D216" i="4" s="1"/>
  <c r="E195" i="4"/>
  <c r="F198" i="4"/>
  <c r="D198" i="4" s="1"/>
  <c r="F199" i="4"/>
  <c r="D199" i="4" s="1"/>
  <c r="F200" i="4"/>
  <c r="D200" i="4" s="1"/>
  <c r="F201" i="4"/>
  <c r="D201" i="4" s="1"/>
  <c r="D202" i="4"/>
  <c r="F202" i="4"/>
  <c r="F203" i="4"/>
  <c r="D203" i="4" s="1"/>
  <c r="F204" i="4"/>
  <c r="D204" i="4" s="1"/>
  <c r="F205" i="4"/>
  <c r="D205" i="4" s="1"/>
  <c r="F206" i="4"/>
  <c r="D206" i="4" s="1"/>
  <c r="D207" i="4"/>
  <c r="H207" i="4"/>
  <c r="D211" i="4"/>
  <c r="D213" i="4"/>
  <c r="E223" i="4"/>
  <c r="F230" i="4"/>
  <c r="G230" i="4"/>
  <c r="H230" i="4"/>
  <c r="F231" i="4"/>
  <c r="F232" i="4"/>
  <c r="F233" i="4"/>
  <c r="G233" i="4"/>
  <c r="H233" i="4"/>
  <c r="F234" i="4"/>
  <c r="F235" i="4"/>
  <c r="H239" i="4" s="1"/>
  <c r="D258" i="4" s="1"/>
  <c r="H237" i="4"/>
  <c r="K237" i="4"/>
  <c r="E238" i="4"/>
  <c r="H238" i="4"/>
  <c r="K238" i="4"/>
  <c r="D260" i="4" s="1"/>
  <c r="E239" i="4"/>
  <c r="F242" i="4"/>
  <c r="F243" i="4"/>
  <c r="F244" i="4"/>
  <c r="F245" i="4"/>
  <c r="D245" i="4" s="1"/>
  <c r="F246" i="4"/>
  <c r="F247" i="4"/>
  <c r="D247" i="4" s="1"/>
  <c r="F248" i="4"/>
  <c r="F249" i="4"/>
  <c r="F250" i="4"/>
  <c r="D250" i="4" s="1"/>
  <c r="H251" i="4"/>
  <c r="D255" i="4"/>
  <c r="D256" i="4"/>
  <c r="D257" i="4"/>
  <c r="E3" i="5"/>
  <c r="F4" i="5"/>
  <c r="F4" i="4" s="1"/>
  <c r="F5" i="5"/>
  <c r="F5" i="4" s="1"/>
  <c r="F6" i="5"/>
  <c r="F6" i="4" s="1"/>
  <c r="F7" i="5"/>
  <c r="F7" i="4" s="1"/>
  <c r="F8" i="5"/>
  <c r="F8" i="4" s="1"/>
  <c r="H8" i="5"/>
  <c r="H8" i="4" s="1"/>
  <c r="F9" i="5"/>
  <c r="G9" i="5"/>
  <c r="F10" i="5"/>
  <c r="G10" i="5"/>
  <c r="F11" i="5"/>
  <c r="H11" i="5"/>
  <c r="F12" i="5"/>
  <c r="H12" i="5"/>
  <c r="F14" i="5"/>
  <c r="H14" i="5" s="1"/>
  <c r="F15" i="5"/>
  <c r="F13" i="5" s="1"/>
  <c r="E19" i="5" s="1"/>
  <c r="H15" i="5"/>
  <c r="F16" i="5"/>
  <c r="D34" i="5" s="1"/>
  <c r="E17" i="5"/>
  <c r="H17" i="5"/>
  <c r="K17" i="5"/>
  <c r="E18" i="5"/>
  <c r="H18" i="5"/>
  <c r="K18" i="5"/>
  <c r="D40" i="5" s="1"/>
  <c r="F22" i="5"/>
  <c r="D22" i="5" s="1"/>
  <c r="F23" i="5"/>
  <c r="D23" i="5" s="1"/>
  <c r="F24" i="5"/>
  <c r="D24" i="5" s="1"/>
  <c r="F25" i="5"/>
  <c r="D25" i="5" s="1"/>
  <c r="F26" i="5"/>
  <c r="D26" i="5" s="1"/>
  <c r="F27" i="5"/>
  <c r="D27" i="5" s="1"/>
  <c r="F28" i="5"/>
  <c r="D28" i="5" s="1"/>
  <c r="F29" i="5"/>
  <c r="D29" i="5" s="1"/>
  <c r="F30" i="5"/>
  <c r="D30" i="5" s="1"/>
  <c r="F31" i="5"/>
  <c r="D31" i="5" s="1"/>
  <c r="H31" i="5"/>
  <c r="D35" i="5"/>
  <c r="D36" i="5"/>
  <c r="D37" i="5"/>
  <c r="D39" i="5"/>
  <c r="E47" i="5"/>
  <c r="F48" i="5"/>
  <c r="F48" i="4" s="1"/>
  <c r="F49" i="5"/>
  <c r="F49" i="4" s="1"/>
  <c r="F50" i="5"/>
  <c r="F50" i="4" s="1"/>
  <c r="F51" i="5"/>
  <c r="F51" i="4" s="1"/>
  <c r="F52" i="5"/>
  <c r="F52" i="4" s="1"/>
  <c r="H52" i="5"/>
  <c r="H52" i="4" s="1"/>
  <c r="F53" i="5"/>
  <c r="G53" i="5"/>
  <c r="F54" i="5"/>
  <c r="G54" i="5"/>
  <c r="F55" i="5"/>
  <c r="H55" i="5"/>
  <c r="F56" i="5"/>
  <c r="H56" i="5"/>
  <c r="F58" i="5"/>
  <c r="H58" i="5" s="1"/>
  <c r="F59" i="5"/>
  <c r="D82" i="5" s="1"/>
  <c r="H59" i="5"/>
  <c r="F60" i="5"/>
  <c r="E61" i="5"/>
  <c r="G68" i="6" s="1"/>
  <c r="H61" i="5"/>
  <c r="K61" i="5"/>
  <c r="H62" i="5"/>
  <c r="K62" i="5"/>
  <c r="D84" i="5" s="1"/>
  <c r="F66" i="5"/>
  <c r="F67" i="5"/>
  <c r="F68" i="5"/>
  <c r="D68" i="5" s="1"/>
  <c r="F69" i="5"/>
  <c r="F70" i="5"/>
  <c r="F71" i="5"/>
  <c r="F72" i="5"/>
  <c r="F73" i="5"/>
  <c r="D73" i="5" s="1"/>
  <c r="F74" i="5"/>
  <c r="D74" i="5" s="1"/>
  <c r="H75" i="5"/>
  <c r="D79" i="5"/>
  <c r="D80" i="5"/>
  <c r="D81" i="5"/>
  <c r="D83" i="5"/>
  <c r="E91" i="5"/>
  <c r="F92" i="5"/>
  <c r="F92" i="4" s="1"/>
  <c r="F93" i="5"/>
  <c r="F93" i="4" s="1"/>
  <c r="F94" i="5"/>
  <c r="F94" i="4" s="1"/>
  <c r="F95" i="5"/>
  <c r="F95" i="4" s="1"/>
  <c r="F96" i="5"/>
  <c r="F96" i="4" s="1"/>
  <c r="H96" i="5"/>
  <c r="H96" i="4" s="1"/>
  <c r="F97" i="5"/>
  <c r="G97" i="5"/>
  <c r="F98" i="5"/>
  <c r="E106" i="5" s="1"/>
  <c r="G98" i="5"/>
  <c r="F99" i="5"/>
  <c r="H99" i="5"/>
  <c r="F100" i="5"/>
  <c r="H100" i="5"/>
  <c r="F102" i="5"/>
  <c r="H102" i="5"/>
  <c r="F103" i="5"/>
  <c r="H103" i="5"/>
  <c r="F104" i="5"/>
  <c r="D122" i="5" s="1"/>
  <c r="E105" i="5"/>
  <c r="E105" i="4" s="1"/>
  <c r="H105" i="5"/>
  <c r="K105" i="5"/>
  <c r="H106" i="5"/>
  <c r="K106" i="5"/>
  <c r="H107" i="5"/>
  <c r="D110" i="5"/>
  <c r="F110" i="5"/>
  <c r="F111" i="5"/>
  <c r="D111" i="5" s="1"/>
  <c r="F112" i="5"/>
  <c r="D112" i="5" s="1"/>
  <c r="F113" i="5"/>
  <c r="D113" i="5" s="1"/>
  <c r="F114" i="5"/>
  <c r="D114" i="5" s="1"/>
  <c r="F115" i="5"/>
  <c r="D115" i="5" s="1"/>
  <c r="F116" i="5"/>
  <c r="D116" i="5" s="1"/>
  <c r="F117" i="5"/>
  <c r="D117" i="5" s="1"/>
  <c r="D118" i="5"/>
  <c r="F118" i="5"/>
  <c r="H119" i="5"/>
  <c r="D123" i="5"/>
  <c r="D124" i="5"/>
  <c r="D125" i="5"/>
  <c r="D127" i="5"/>
  <c r="D128" i="5"/>
  <c r="E135" i="5"/>
  <c r="F136" i="5"/>
  <c r="F136" i="4" s="1"/>
  <c r="F138" i="5"/>
  <c r="F138" i="4" s="1"/>
  <c r="F139" i="5"/>
  <c r="F139" i="4" s="1"/>
  <c r="F140" i="5"/>
  <c r="F140" i="4" s="1"/>
  <c r="H140" i="5"/>
  <c r="H140" i="4" s="1"/>
  <c r="F141" i="5"/>
  <c r="G141" i="5"/>
  <c r="F142" i="5"/>
  <c r="G142" i="5"/>
  <c r="F143" i="5"/>
  <c r="H143" i="5"/>
  <c r="F144" i="5"/>
  <c r="H144" i="5"/>
  <c r="F146" i="5"/>
  <c r="H146" i="5" s="1"/>
  <c r="F147" i="5"/>
  <c r="D170" i="5" s="1"/>
  <c r="H147" i="5"/>
  <c r="F148" i="5"/>
  <c r="E149" i="5"/>
  <c r="K68" i="6" s="1"/>
  <c r="H149" i="5"/>
  <c r="K149" i="5"/>
  <c r="H150" i="5"/>
  <c r="K150" i="5"/>
  <c r="D172" i="5" s="1"/>
  <c r="F154" i="5"/>
  <c r="F155" i="5"/>
  <c r="F156" i="5"/>
  <c r="D156" i="5" s="1"/>
  <c r="F157" i="5"/>
  <c r="F158" i="5"/>
  <c r="F159" i="5"/>
  <c r="F160" i="5"/>
  <c r="D160" i="5" s="1"/>
  <c r="F161" i="5"/>
  <c r="F162" i="5"/>
  <c r="D162" i="5" s="1"/>
  <c r="H163" i="5"/>
  <c r="D167" i="5"/>
  <c r="D168" i="5"/>
  <c r="D169" i="5"/>
  <c r="D171" i="5"/>
  <c r="E179" i="5"/>
  <c r="F180" i="5"/>
  <c r="F180" i="4" s="1"/>
  <c r="F181" i="5"/>
  <c r="F181" i="4" s="1"/>
  <c r="F182" i="5"/>
  <c r="F182" i="4" s="1"/>
  <c r="F183" i="5"/>
  <c r="F183" i="4" s="1"/>
  <c r="F184" i="5"/>
  <c r="F184" i="4" s="1"/>
  <c r="H184" i="5"/>
  <c r="H184" i="4" s="1"/>
  <c r="F185" i="5"/>
  <c r="G185" i="5"/>
  <c r="F186" i="5"/>
  <c r="E194" i="5" s="1"/>
  <c r="G186" i="5"/>
  <c r="F187" i="5"/>
  <c r="H187" i="5"/>
  <c r="F188" i="5"/>
  <c r="H188" i="5"/>
  <c r="F190" i="5"/>
  <c r="H190" i="5" s="1"/>
  <c r="F191" i="5"/>
  <c r="F189" i="5" s="1"/>
  <c r="E195" i="5" s="1"/>
  <c r="H191" i="5"/>
  <c r="F192" i="5"/>
  <c r="D210" i="5" s="1"/>
  <c r="E193" i="5"/>
  <c r="H193" i="5"/>
  <c r="K193" i="5"/>
  <c r="H194" i="5"/>
  <c r="K194" i="5"/>
  <c r="D216" i="5" s="1"/>
  <c r="F198" i="5"/>
  <c r="D198" i="5" s="1"/>
  <c r="F199" i="5"/>
  <c r="D199" i="5" s="1"/>
  <c r="F200" i="5"/>
  <c r="D200" i="5" s="1"/>
  <c r="F201" i="5"/>
  <c r="D201" i="5" s="1"/>
  <c r="F202" i="5"/>
  <c r="D202" i="5" s="1"/>
  <c r="F203" i="5"/>
  <c r="D203" i="5" s="1"/>
  <c r="F204" i="5"/>
  <c r="D204" i="5" s="1"/>
  <c r="F205" i="5"/>
  <c r="D205" i="5" s="1"/>
  <c r="F206" i="5"/>
  <c r="D206" i="5" s="1"/>
  <c r="H207" i="5"/>
  <c r="D211" i="5"/>
  <c r="D212" i="5"/>
  <c r="D213" i="5"/>
  <c r="D215" i="5"/>
  <c r="E223" i="5"/>
  <c r="F224" i="5"/>
  <c r="F224" i="4" s="1"/>
  <c r="F225" i="5"/>
  <c r="F225" i="4" s="1"/>
  <c r="F226" i="5"/>
  <c r="F226" i="4" s="1"/>
  <c r="F227" i="5"/>
  <c r="F227" i="4" s="1"/>
  <c r="F228" i="5"/>
  <c r="F228" i="4" s="1"/>
  <c r="H228" i="5"/>
  <c r="H228" i="4" s="1"/>
  <c r="F229" i="5"/>
  <c r="G229" i="5"/>
  <c r="F230" i="5"/>
  <c r="G230" i="5"/>
  <c r="F231" i="5"/>
  <c r="H231" i="5"/>
  <c r="F232" i="5"/>
  <c r="H232" i="5"/>
  <c r="F234" i="5"/>
  <c r="H234" i="5" s="1"/>
  <c r="F235" i="5"/>
  <c r="H235" i="5"/>
  <c r="F236" i="5"/>
  <c r="E237" i="5"/>
  <c r="E237" i="4" s="1"/>
  <c r="H237" i="5"/>
  <c r="K237" i="5"/>
  <c r="H238" i="5"/>
  <c r="K238" i="5"/>
  <c r="D260" i="5" s="1"/>
  <c r="F242" i="5"/>
  <c r="F243" i="5"/>
  <c r="D244" i="5"/>
  <c r="F244" i="5"/>
  <c r="F245" i="5"/>
  <c r="F246" i="5"/>
  <c r="F247" i="5"/>
  <c r="F248" i="5"/>
  <c r="D248" i="5" s="1"/>
  <c r="F249" i="5"/>
  <c r="D249" i="5" s="1"/>
  <c r="F250" i="5"/>
  <c r="D250" i="5" s="1"/>
  <c r="H251" i="5"/>
  <c r="D255" i="5"/>
  <c r="D256" i="5"/>
  <c r="D257" i="5"/>
  <c r="D259" i="5"/>
  <c r="D3" i="1"/>
  <c r="E3" i="1"/>
  <c r="I3" i="1"/>
  <c r="J5" i="1" s="1"/>
  <c r="J3" i="1"/>
  <c r="J6" i="1" s="1"/>
  <c r="N3" i="1"/>
  <c r="L5" i="1" s="1"/>
  <c r="O3" i="1"/>
  <c r="L6" i="1" s="1"/>
  <c r="S3" i="1"/>
  <c r="T5" i="1" s="1"/>
  <c r="T3" i="1"/>
  <c r="Q6" i="1" s="1"/>
  <c r="X3" i="1"/>
  <c r="V5" i="1" s="1"/>
  <c r="Y3" i="1"/>
  <c r="AC3" i="1"/>
  <c r="AD5" i="1" s="1"/>
  <c r="AD3" i="1"/>
  <c r="AD6" i="1" s="1"/>
  <c r="B5" i="1"/>
  <c r="C5" i="1"/>
  <c r="G5" i="1"/>
  <c r="H5" i="1"/>
  <c r="I5" i="1"/>
  <c r="M5" i="1"/>
  <c r="R5" i="1"/>
  <c r="S5" i="1"/>
  <c r="W5" i="1"/>
  <c r="AA5" i="1"/>
  <c r="AB5" i="1"/>
  <c r="C6" i="1"/>
  <c r="H6" i="1"/>
  <c r="I6" i="1"/>
  <c r="M6" i="1"/>
  <c r="R6" i="1"/>
  <c r="W6" i="1"/>
  <c r="AA6" i="1"/>
  <c r="AB6" i="1"/>
  <c r="D8" i="1"/>
  <c r="E8" i="1"/>
  <c r="N8" i="1"/>
  <c r="O8" i="1"/>
  <c r="X8" i="1"/>
  <c r="Y8" i="1"/>
  <c r="D9" i="1"/>
  <c r="E9" i="1"/>
  <c r="O9" i="1"/>
  <c r="X9" i="1"/>
  <c r="Y9" i="1"/>
  <c r="D10" i="1"/>
  <c r="E10" i="1"/>
  <c r="N10" i="1"/>
  <c r="O10" i="1"/>
  <c r="Y10" i="1"/>
  <c r="D11" i="1"/>
  <c r="E11" i="1"/>
  <c r="N11" i="1"/>
  <c r="O11" i="1"/>
  <c r="Y11" i="1"/>
  <c r="D12" i="1"/>
  <c r="E12" i="1"/>
  <c r="G12" i="1"/>
  <c r="H69" i="5" s="1"/>
  <c r="O12" i="1"/>
  <c r="X12" i="1"/>
  <c r="Y12" i="1"/>
  <c r="D13" i="1"/>
  <c r="E13" i="1"/>
  <c r="O13" i="1"/>
  <c r="X13" i="1"/>
  <c r="Y13" i="1"/>
  <c r="D14" i="1"/>
  <c r="E14" i="1"/>
  <c r="O14" i="1"/>
  <c r="Y14" i="1"/>
  <c r="D15" i="1"/>
  <c r="E15" i="1"/>
  <c r="O15" i="1"/>
  <c r="X15" i="1"/>
  <c r="Y15" i="1"/>
  <c r="D16" i="1"/>
  <c r="E16" i="1"/>
  <c r="O16" i="1"/>
  <c r="Y16" i="1"/>
  <c r="D17" i="1"/>
  <c r="E17" i="1"/>
  <c r="O17" i="1"/>
  <c r="X17" i="1"/>
  <c r="Y17" i="1"/>
  <c r="D18" i="1"/>
  <c r="E18" i="1"/>
  <c r="N18" i="1"/>
  <c r="O18" i="1"/>
  <c r="Y18" i="1"/>
  <c r="D19" i="1"/>
  <c r="E19" i="1"/>
  <c r="O19" i="1"/>
  <c r="X19" i="1"/>
  <c r="Y19" i="1"/>
  <c r="D20" i="1"/>
  <c r="E20" i="1"/>
  <c r="O20" i="1"/>
  <c r="Y20" i="1"/>
  <c r="D21" i="1"/>
  <c r="E21" i="1"/>
  <c r="O21" i="1"/>
  <c r="Y21" i="1"/>
  <c r="D22" i="1"/>
  <c r="E22" i="1"/>
  <c r="N22" i="1"/>
  <c r="O22" i="1"/>
  <c r="X22" i="1"/>
  <c r="Y22" i="1"/>
  <c r="D23" i="1"/>
  <c r="E23" i="1"/>
  <c r="N23" i="1"/>
  <c r="O23" i="1"/>
  <c r="X23" i="1"/>
  <c r="Y23" i="1"/>
  <c r="D24" i="1"/>
  <c r="E24" i="1"/>
  <c r="N24" i="1"/>
  <c r="O24" i="1"/>
  <c r="Y24" i="1"/>
  <c r="D25" i="1"/>
  <c r="E25" i="1"/>
  <c r="N25" i="1"/>
  <c r="O25" i="1"/>
  <c r="X25" i="1"/>
  <c r="Y25" i="1"/>
  <c r="D26" i="1"/>
  <c r="E26" i="1"/>
  <c r="G26" i="1"/>
  <c r="O26" i="1"/>
  <c r="X26" i="1"/>
  <c r="Y26" i="1"/>
  <c r="D27" i="1"/>
  <c r="E27" i="1"/>
  <c r="N27" i="1"/>
  <c r="O27" i="1"/>
  <c r="X27" i="1"/>
  <c r="Y27" i="1"/>
  <c r="D28" i="1"/>
  <c r="E28" i="1"/>
  <c r="G28" i="1"/>
  <c r="N28" i="1"/>
  <c r="O28" i="1"/>
  <c r="Y28" i="1"/>
  <c r="D29" i="1"/>
  <c r="E29" i="1"/>
  <c r="N29" i="1"/>
  <c r="O29" i="1"/>
  <c r="X29" i="1"/>
  <c r="Y29" i="1"/>
  <c r="D30" i="1"/>
  <c r="E30" i="1"/>
  <c r="G30" i="1"/>
  <c r="O30" i="1"/>
  <c r="Y30" i="1"/>
  <c r="D31" i="1"/>
  <c r="E31" i="1"/>
  <c r="O31" i="1"/>
  <c r="X31" i="1"/>
  <c r="Y31" i="1"/>
  <c r="D32" i="1"/>
  <c r="E32" i="1"/>
  <c r="N32" i="1"/>
  <c r="O32" i="1"/>
  <c r="Y32" i="1"/>
  <c r="D33" i="1"/>
  <c r="E33" i="1"/>
  <c r="N33" i="1"/>
  <c r="O33" i="1"/>
  <c r="X33" i="1"/>
  <c r="Y33" i="1"/>
  <c r="D34" i="1"/>
  <c r="E34" i="1"/>
  <c r="G34" i="1"/>
  <c r="O34" i="1"/>
  <c r="Y34" i="1"/>
  <c r="D35" i="1"/>
  <c r="E35" i="1"/>
  <c r="N35" i="1"/>
  <c r="O35" i="1"/>
  <c r="Y35" i="1"/>
  <c r="D36" i="1"/>
  <c r="E36" i="1"/>
  <c r="G36" i="1"/>
  <c r="N36" i="1"/>
  <c r="O36" i="1"/>
  <c r="X36" i="1"/>
  <c r="Y36" i="1"/>
  <c r="D37" i="1"/>
  <c r="E37" i="1"/>
  <c r="N37" i="1"/>
  <c r="O37" i="1"/>
  <c r="X37" i="1"/>
  <c r="Y37" i="1"/>
  <c r="D38" i="1"/>
  <c r="E38" i="1"/>
  <c r="G38" i="1"/>
  <c r="O38" i="1"/>
  <c r="Y38" i="1"/>
  <c r="D39" i="1"/>
  <c r="E39" i="1"/>
  <c r="O39" i="1"/>
  <c r="Y39" i="1"/>
  <c r="D40" i="1"/>
  <c r="E40" i="1"/>
  <c r="N40" i="1"/>
  <c r="O40" i="1"/>
  <c r="X40" i="1"/>
  <c r="Y40" i="1"/>
  <c r="D41" i="1"/>
  <c r="E41" i="1"/>
  <c r="N41" i="1"/>
  <c r="O41" i="1"/>
  <c r="T41" i="1"/>
  <c r="X41" i="1"/>
  <c r="Y41" i="1"/>
  <c r="AD41" i="1"/>
  <c r="D42" i="1"/>
  <c r="E42" i="1"/>
  <c r="J42" i="1"/>
  <c r="N42" i="1"/>
  <c r="O42" i="1"/>
  <c r="T42" i="1"/>
  <c r="Y42" i="1"/>
  <c r="D43" i="1"/>
  <c r="E43" i="1"/>
  <c r="J43" i="1"/>
  <c r="O43" i="1"/>
  <c r="T43" i="1"/>
  <c r="X43" i="1"/>
  <c r="Y43" i="1"/>
  <c r="AD43" i="1"/>
  <c r="D44" i="1"/>
  <c r="E44" i="1"/>
  <c r="G44" i="1"/>
  <c r="J44" i="1"/>
  <c r="O44" i="1"/>
  <c r="T44" i="1"/>
  <c r="Y44" i="1"/>
  <c r="AD44" i="1"/>
  <c r="D45" i="1"/>
  <c r="E45" i="1"/>
  <c r="J45" i="1"/>
  <c r="N45" i="1"/>
  <c r="O45" i="1"/>
  <c r="T45" i="1"/>
  <c r="X45" i="1"/>
  <c r="Y45" i="1"/>
  <c r="AD45" i="1"/>
  <c r="D46" i="1"/>
  <c r="E46" i="1"/>
  <c r="J46" i="1"/>
  <c r="N46" i="1"/>
  <c r="O46" i="1"/>
  <c r="T46" i="1"/>
  <c r="Y46" i="1"/>
  <c r="AD46" i="1"/>
  <c r="D47" i="1"/>
  <c r="E47" i="1"/>
  <c r="J47" i="1"/>
  <c r="O47" i="1"/>
  <c r="T47" i="1"/>
  <c r="X47" i="1"/>
  <c r="Y47" i="1"/>
  <c r="AD47" i="1"/>
  <c r="D48" i="1"/>
  <c r="E48" i="1"/>
  <c r="J48" i="1"/>
  <c r="O48" i="1"/>
  <c r="T48" i="1"/>
  <c r="X48" i="1"/>
  <c r="Y48" i="1"/>
  <c r="AD48" i="1"/>
  <c r="D49" i="1"/>
  <c r="E49" i="1"/>
  <c r="J49" i="1"/>
  <c r="N49" i="1"/>
  <c r="O49" i="1"/>
  <c r="T49" i="1"/>
  <c r="Y49" i="1"/>
  <c r="AD49" i="1"/>
  <c r="D50" i="1"/>
  <c r="E50" i="1"/>
  <c r="J50" i="1"/>
  <c r="N50" i="1"/>
  <c r="O50" i="1"/>
  <c r="T50" i="1"/>
  <c r="X50" i="1"/>
  <c r="Y50" i="1"/>
  <c r="D51" i="1"/>
  <c r="E51" i="1"/>
  <c r="J51" i="1"/>
  <c r="O51" i="1"/>
  <c r="T51" i="1"/>
  <c r="Y51" i="1"/>
  <c r="AD51" i="1"/>
  <c r="D52" i="1"/>
  <c r="E52" i="1"/>
  <c r="G52" i="1"/>
  <c r="J52" i="1"/>
  <c r="O52" i="1"/>
  <c r="T52" i="1"/>
  <c r="X52" i="1"/>
  <c r="Y52" i="1"/>
  <c r="AD52" i="1"/>
  <c r="D53" i="1"/>
  <c r="E53" i="1"/>
  <c r="J53" i="1"/>
  <c r="N53" i="1"/>
  <c r="O53" i="1"/>
  <c r="T53" i="1"/>
  <c r="Y53" i="1"/>
  <c r="AD53" i="1"/>
  <c r="D54" i="1"/>
  <c r="E54" i="1"/>
  <c r="J54" i="1"/>
  <c r="N54" i="1"/>
  <c r="O54" i="1"/>
  <c r="T54" i="1"/>
  <c r="X54" i="1"/>
  <c r="Y54" i="1"/>
  <c r="AD54" i="1"/>
  <c r="D55" i="1"/>
  <c r="E55" i="1"/>
  <c r="J55" i="1"/>
  <c r="O55" i="1"/>
  <c r="T55" i="1"/>
  <c r="Y55" i="1"/>
  <c r="AD55" i="1"/>
  <c r="D56" i="1"/>
  <c r="E56" i="1"/>
  <c r="J56" i="1"/>
  <c r="O56" i="1"/>
  <c r="Y56" i="1"/>
  <c r="D57" i="1"/>
  <c r="E57" i="1"/>
  <c r="G57" i="1"/>
  <c r="O57" i="1"/>
  <c r="X57" i="1"/>
  <c r="Y57" i="1"/>
  <c r="D58" i="1"/>
  <c r="E58" i="1"/>
  <c r="N58" i="1"/>
  <c r="O58" i="1"/>
  <c r="T58" i="1"/>
  <c r="Y58" i="1"/>
  <c r="AD58" i="1"/>
  <c r="D59" i="1"/>
  <c r="E59" i="1"/>
  <c r="G59" i="1"/>
  <c r="O59" i="1"/>
  <c r="X59" i="1"/>
  <c r="Y59" i="1"/>
  <c r="AD59" i="1"/>
  <c r="D60" i="1"/>
  <c r="E60" i="1"/>
  <c r="G60" i="1"/>
  <c r="J60" i="1"/>
  <c r="O60" i="1"/>
  <c r="X60" i="1"/>
  <c r="Y60" i="1"/>
  <c r="D61" i="1"/>
  <c r="E61" i="1"/>
  <c r="G61" i="1"/>
  <c r="O61" i="1"/>
  <c r="Y61" i="1"/>
  <c r="AD61" i="1"/>
  <c r="D62" i="1"/>
  <c r="E62" i="1"/>
  <c r="N62" i="1"/>
  <c r="O62" i="1"/>
  <c r="T62" i="1"/>
  <c r="Y62" i="1"/>
  <c r="AD62" i="1"/>
  <c r="D63" i="1"/>
  <c r="E63" i="1"/>
  <c r="J63" i="1"/>
  <c r="N63" i="1"/>
  <c r="O63" i="1"/>
  <c r="T63" i="1"/>
  <c r="X63" i="1"/>
  <c r="Y63" i="1"/>
  <c r="AD63" i="1"/>
  <c r="D64" i="1"/>
  <c r="E64" i="1"/>
  <c r="J64" i="1"/>
  <c r="N64" i="1"/>
  <c r="O64" i="1"/>
  <c r="T64" i="1"/>
  <c r="Y64" i="1"/>
  <c r="AD64" i="1"/>
  <c r="D65" i="1"/>
  <c r="E65" i="1"/>
  <c r="G65" i="1"/>
  <c r="J65" i="1"/>
  <c r="O65" i="1"/>
  <c r="X65" i="1"/>
  <c r="Y65" i="1"/>
  <c r="D66" i="1"/>
  <c r="E66" i="1"/>
  <c r="O66" i="1"/>
  <c r="T66" i="1"/>
  <c r="Y66" i="1"/>
  <c r="AD66" i="1"/>
  <c r="D67" i="1"/>
  <c r="E67" i="1"/>
  <c r="I67" i="1"/>
  <c r="J67" i="1"/>
  <c r="O67" i="1"/>
  <c r="Y67" i="1"/>
  <c r="D68" i="1"/>
  <c r="E68" i="1"/>
  <c r="G68" i="1"/>
  <c r="N68" i="1"/>
  <c r="O68" i="1"/>
  <c r="S68" i="1"/>
  <c r="T68" i="1"/>
  <c r="Y68" i="1"/>
  <c r="AD68" i="1"/>
  <c r="D69" i="1"/>
  <c r="E69" i="1"/>
  <c r="G69" i="1"/>
  <c r="I69" i="1"/>
  <c r="O69" i="1"/>
  <c r="T69" i="1"/>
  <c r="X69" i="1"/>
  <c r="Y69" i="1"/>
  <c r="AC69" i="1"/>
  <c r="AD69" i="1"/>
  <c r="D70" i="1"/>
  <c r="E70" i="1"/>
  <c r="G70" i="1"/>
  <c r="I70" i="1"/>
  <c r="O70" i="1"/>
  <c r="T70" i="1"/>
  <c r="Y70" i="1"/>
  <c r="AD70" i="1"/>
  <c r="D71" i="1"/>
  <c r="E71" i="1"/>
  <c r="I71" i="1"/>
  <c r="J71" i="1"/>
  <c r="O71" i="1"/>
  <c r="Y71" i="1"/>
  <c r="D72" i="1"/>
  <c r="E72" i="1"/>
  <c r="G72" i="1"/>
  <c r="N72" i="1"/>
  <c r="O72" i="1"/>
  <c r="S72" i="1"/>
  <c r="T72" i="1"/>
  <c r="Y72" i="1"/>
  <c r="AD72" i="1"/>
  <c r="D73" i="1"/>
  <c r="E73" i="1"/>
  <c r="G73" i="1"/>
  <c r="I73" i="1"/>
  <c r="O73" i="1"/>
  <c r="T73" i="1"/>
  <c r="X73" i="1"/>
  <c r="Y73" i="1"/>
  <c r="AC73" i="1"/>
  <c r="AD73" i="1"/>
  <c r="D74" i="1"/>
  <c r="E74" i="1"/>
  <c r="G74" i="1"/>
  <c r="I74" i="1"/>
  <c r="O74" i="1"/>
  <c r="T74" i="1"/>
  <c r="Y74" i="1"/>
  <c r="AD74" i="1"/>
  <c r="D75" i="1"/>
  <c r="E75" i="1"/>
  <c r="I75" i="1"/>
  <c r="J75" i="1"/>
  <c r="O75" i="1"/>
  <c r="Y75" i="1"/>
  <c r="D76" i="1"/>
  <c r="E76" i="1"/>
  <c r="G76" i="1"/>
  <c r="N76" i="1"/>
  <c r="O76" i="1"/>
  <c r="S76" i="1"/>
  <c r="T76" i="1"/>
  <c r="X76" i="1"/>
  <c r="Y76" i="1"/>
  <c r="AD76" i="1"/>
  <c r="D77" i="1"/>
  <c r="E77" i="1"/>
  <c r="G77" i="1"/>
  <c r="I77" i="1"/>
  <c r="O77" i="1"/>
  <c r="T77" i="1"/>
  <c r="Y77" i="1"/>
  <c r="AC77" i="1"/>
  <c r="AD77" i="1"/>
  <c r="D78" i="1"/>
  <c r="E78" i="1"/>
  <c r="G78" i="1"/>
  <c r="I78" i="1"/>
  <c r="O78" i="1"/>
  <c r="T78" i="1"/>
  <c r="X78" i="1"/>
  <c r="Y78" i="1"/>
  <c r="AC78" i="1"/>
  <c r="AD78" i="1"/>
  <c r="D79" i="1"/>
  <c r="E79" i="1"/>
  <c r="G79" i="1"/>
  <c r="I79" i="1"/>
  <c r="O79" i="1"/>
  <c r="T79" i="1"/>
  <c r="Y79" i="1"/>
  <c r="AC79" i="1"/>
  <c r="AD79" i="1"/>
  <c r="D80" i="1"/>
  <c r="E80" i="1"/>
  <c r="G80" i="1"/>
  <c r="I80" i="1"/>
  <c r="O80" i="1"/>
  <c r="T80" i="1"/>
  <c r="X80" i="1"/>
  <c r="Y80" i="1"/>
  <c r="AC80" i="1"/>
  <c r="AD80" i="1"/>
  <c r="D81" i="1"/>
  <c r="E81" i="1"/>
  <c r="G81" i="1"/>
  <c r="I81" i="1"/>
  <c r="O81" i="1"/>
  <c r="T81" i="1"/>
  <c r="Y81" i="1"/>
  <c r="AC81" i="1"/>
  <c r="AD81" i="1"/>
  <c r="D82" i="1"/>
  <c r="E82" i="1"/>
  <c r="G82" i="1"/>
  <c r="I82" i="1"/>
  <c r="O82" i="1"/>
  <c r="T82" i="1"/>
  <c r="X82" i="1"/>
  <c r="Y82" i="1"/>
  <c r="AC82" i="1"/>
  <c r="AD82" i="1"/>
  <c r="D83" i="1"/>
  <c r="E83" i="1"/>
  <c r="G83" i="1"/>
  <c r="I83" i="1"/>
  <c r="O83" i="1"/>
  <c r="T83" i="1"/>
  <c r="Y83" i="1"/>
  <c r="AC83" i="1"/>
  <c r="AD83" i="1"/>
  <c r="D84" i="1"/>
  <c r="E84" i="1"/>
  <c r="G84" i="1"/>
  <c r="I84" i="1"/>
  <c r="O84" i="1"/>
  <c r="T84" i="1"/>
  <c r="X84" i="1"/>
  <c r="Y84" i="1"/>
  <c r="AC84" i="1"/>
  <c r="AD84" i="1"/>
  <c r="D85" i="1"/>
  <c r="E85" i="1"/>
  <c r="G85" i="1"/>
  <c r="I85" i="1"/>
  <c r="O85" i="1"/>
  <c r="T85" i="1"/>
  <c r="Y85" i="1"/>
  <c r="AC85" i="1"/>
  <c r="AD85" i="1"/>
  <c r="D86" i="1"/>
  <c r="E86" i="1"/>
  <c r="G86" i="1"/>
  <c r="I86" i="1"/>
  <c r="O86" i="1"/>
  <c r="T86" i="1"/>
  <c r="X86" i="1"/>
  <c r="Y86" i="1"/>
  <c r="AC86" i="1"/>
  <c r="AD86" i="1"/>
  <c r="D87" i="1"/>
  <c r="E87" i="1"/>
  <c r="G87" i="1"/>
  <c r="I87" i="1"/>
  <c r="O87" i="1"/>
  <c r="T87" i="1"/>
  <c r="Y87" i="1"/>
  <c r="AC87" i="1"/>
  <c r="AD87" i="1"/>
  <c r="D88" i="1"/>
  <c r="E88" i="1"/>
  <c r="G88" i="1"/>
  <c r="I88" i="1"/>
  <c r="O88" i="1"/>
  <c r="T88" i="1"/>
  <c r="X88" i="1"/>
  <c r="Y88" i="1"/>
  <c r="AC88" i="1"/>
  <c r="AD88" i="1"/>
  <c r="D89" i="1"/>
  <c r="E89" i="1"/>
  <c r="G89" i="1"/>
  <c r="I89" i="1"/>
  <c r="O89" i="1"/>
  <c r="T89" i="1"/>
  <c r="Y89" i="1"/>
  <c r="AC89" i="1"/>
  <c r="AD89" i="1"/>
  <c r="D90" i="1"/>
  <c r="E90" i="1"/>
  <c r="G90" i="1"/>
  <c r="I90" i="1"/>
  <c r="O90" i="1"/>
  <c r="T90" i="1"/>
  <c r="X90" i="1"/>
  <c r="Y90" i="1"/>
  <c r="AC90" i="1"/>
  <c r="AD90" i="1"/>
  <c r="D91" i="1"/>
  <c r="E91" i="1"/>
  <c r="G91" i="1"/>
  <c r="I91" i="1"/>
  <c r="O91" i="1"/>
  <c r="T91" i="1"/>
  <c r="Y91" i="1"/>
  <c r="AC91" i="1"/>
  <c r="AD91" i="1"/>
  <c r="D92" i="1"/>
  <c r="E92" i="1"/>
  <c r="G92" i="1"/>
  <c r="I92" i="1"/>
  <c r="O92" i="1"/>
  <c r="T92" i="1"/>
  <c r="X92" i="1"/>
  <c r="Y92" i="1"/>
  <c r="AC92" i="1"/>
  <c r="AD92" i="1"/>
  <c r="D93" i="1"/>
  <c r="E93" i="1"/>
  <c r="G93" i="1"/>
  <c r="I93" i="1"/>
  <c r="O93" i="1"/>
  <c r="T93" i="1"/>
  <c r="Y93" i="1"/>
  <c r="AC93" i="1"/>
  <c r="AD93" i="1"/>
  <c r="D94" i="1"/>
  <c r="E94" i="1"/>
  <c r="G94" i="1"/>
  <c r="I94" i="1"/>
  <c r="O94" i="1"/>
  <c r="T94" i="1"/>
  <c r="X94" i="1"/>
  <c r="Y94" i="1"/>
  <c r="AC94" i="1"/>
  <c r="AD94" i="1"/>
  <c r="D95" i="1"/>
  <c r="E95" i="1"/>
  <c r="G95" i="1"/>
  <c r="I95" i="1"/>
  <c r="O95" i="1"/>
  <c r="T95" i="1"/>
  <c r="Y95" i="1"/>
  <c r="AC95" i="1"/>
  <c r="AD95" i="1"/>
  <c r="D96" i="1"/>
  <c r="E96" i="1"/>
  <c r="G96" i="1"/>
  <c r="I96" i="1"/>
  <c r="O96" i="1"/>
  <c r="T96" i="1"/>
  <c r="X96" i="1"/>
  <c r="Y96" i="1"/>
  <c r="AC96" i="1"/>
  <c r="AD96" i="1"/>
  <c r="D97" i="1"/>
  <c r="E97" i="1"/>
  <c r="G97" i="1"/>
  <c r="I97" i="1"/>
  <c r="O97" i="1"/>
  <c r="T97" i="1"/>
  <c r="Y97" i="1"/>
  <c r="AC97" i="1"/>
  <c r="AD97" i="1"/>
  <c r="D98" i="1"/>
  <c r="E98" i="1"/>
  <c r="G98" i="1"/>
  <c r="I98" i="1"/>
  <c r="O98" i="1"/>
  <c r="T98" i="1"/>
  <c r="X98" i="1"/>
  <c r="Y98" i="1"/>
  <c r="AC98" i="1"/>
  <c r="AD98" i="1"/>
  <c r="D99" i="1"/>
  <c r="E99" i="1"/>
  <c r="G99" i="1"/>
  <c r="I99" i="1"/>
  <c r="O99" i="1"/>
  <c r="T99" i="1"/>
  <c r="Y99" i="1"/>
  <c r="AC99" i="1"/>
  <c r="AD99" i="1"/>
  <c r="D100" i="1"/>
  <c r="E100" i="1"/>
  <c r="G100" i="1"/>
  <c r="I100" i="1"/>
  <c r="O100" i="1"/>
  <c r="T100" i="1"/>
  <c r="X100" i="1"/>
  <c r="Y100" i="1"/>
  <c r="AC100" i="1"/>
  <c r="AD100" i="1"/>
  <c r="D101" i="1"/>
  <c r="E101" i="1"/>
  <c r="G101" i="1"/>
  <c r="I101" i="1"/>
  <c r="O101" i="1"/>
  <c r="T101" i="1"/>
  <c r="Y101" i="1"/>
  <c r="AC101" i="1"/>
  <c r="AD101" i="1"/>
  <c r="D102" i="1"/>
  <c r="E102" i="1"/>
  <c r="G102" i="1"/>
  <c r="I102" i="1"/>
  <c r="O102" i="1"/>
  <c r="T102" i="1"/>
  <c r="X102" i="1"/>
  <c r="Y102" i="1"/>
  <c r="AC102" i="1"/>
  <c r="AD102" i="1"/>
  <c r="D103" i="1"/>
  <c r="E103" i="1"/>
  <c r="G103" i="1"/>
  <c r="I103" i="1"/>
  <c r="O103" i="1"/>
  <c r="T103" i="1"/>
  <c r="Y103" i="1"/>
  <c r="AC103" i="1"/>
  <c r="AD103" i="1"/>
  <c r="D104" i="1"/>
  <c r="E104" i="1"/>
  <c r="G104" i="1"/>
  <c r="I104" i="1"/>
  <c r="O104" i="1"/>
  <c r="T104" i="1"/>
  <c r="X104" i="1"/>
  <c r="Y104" i="1"/>
  <c r="AC104" i="1"/>
  <c r="AD104" i="1"/>
  <c r="D105" i="1"/>
  <c r="E105" i="1"/>
  <c r="G105" i="1"/>
  <c r="I105" i="1"/>
  <c r="O105" i="1"/>
  <c r="T105" i="1"/>
  <c r="Y105" i="1"/>
  <c r="AC105" i="1"/>
  <c r="AD105" i="1"/>
  <c r="D106" i="1"/>
  <c r="E106" i="1"/>
  <c r="G106" i="1"/>
  <c r="I106" i="1"/>
  <c r="O106" i="1"/>
  <c r="T106" i="1"/>
  <c r="X106" i="1"/>
  <c r="Y106" i="1"/>
  <c r="AC106" i="1"/>
  <c r="AD106" i="1"/>
  <c r="D107" i="1"/>
  <c r="E107" i="1"/>
  <c r="G107" i="1"/>
  <c r="I107" i="1"/>
  <c r="O107" i="1"/>
  <c r="T107" i="1"/>
  <c r="Y107" i="1"/>
  <c r="AC107" i="1"/>
  <c r="AD107" i="1"/>
  <c r="D108" i="1"/>
  <c r="E108" i="1"/>
  <c r="G108" i="1"/>
  <c r="I108" i="1"/>
  <c r="O108" i="1"/>
  <c r="T108" i="1"/>
  <c r="X108" i="1"/>
  <c r="Y108" i="1"/>
  <c r="AC108" i="1"/>
  <c r="AD108" i="1"/>
  <c r="D109" i="1"/>
  <c r="E109" i="1"/>
  <c r="G109" i="1"/>
  <c r="I109" i="1"/>
  <c r="O109" i="1"/>
  <c r="T109" i="1"/>
  <c r="Y109" i="1"/>
  <c r="AC109" i="1"/>
  <c r="AD109" i="1"/>
  <c r="D110" i="1"/>
  <c r="E110" i="1"/>
  <c r="G110" i="1"/>
  <c r="I110" i="1"/>
  <c r="O110" i="1"/>
  <c r="T110" i="1"/>
  <c r="X110" i="1"/>
  <c r="Y110" i="1"/>
  <c r="AC110" i="1"/>
  <c r="AD110" i="1"/>
  <c r="D111" i="1"/>
  <c r="E111" i="1"/>
  <c r="G111" i="1"/>
  <c r="I111" i="1"/>
  <c r="O111" i="1"/>
  <c r="T111" i="1"/>
  <c r="Y111" i="1"/>
  <c r="AC111" i="1"/>
  <c r="AD111" i="1"/>
  <c r="D112" i="1"/>
  <c r="E112" i="1"/>
  <c r="G112" i="1"/>
  <c r="I112" i="1"/>
  <c r="O112" i="1"/>
  <c r="T112" i="1"/>
  <c r="X112" i="1"/>
  <c r="Y112" i="1"/>
  <c r="AC112" i="1"/>
  <c r="AD112" i="1"/>
  <c r="D113" i="1"/>
  <c r="E113" i="1"/>
  <c r="G113" i="1"/>
  <c r="I113" i="1"/>
  <c r="O113" i="1"/>
  <c r="T113" i="1"/>
  <c r="Y113" i="1"/>
  <c r="AC113" i="1"/>
  <c r="AD113" i="1"/>
  <c r="D114" i="1"/>
  <c r="E114" i="1"/>
  <c r="G114" i="1"/>
  <c r="I114" i="1"/>
  <c r="J114" i="1"/>
  <c r="O114" i="1"/>
  <c r="T114" i="1"/>
  <c r="Y114" i="1"/>
  <c r="AC114" i="1"/>
  <c r="AD114" i="1"/>
  <c r="D115" i="1"/>
  <c r="E115" i="1"/>
  <c r="G115" i="1"/>
  <c r="I115" i="1"/>
  <c r="J115" i="1"/>
  <c r="O115" i="1"/>
  <c r="T115" i="1"/>
  <c r="Y115" i="1"/>
  <c r="AC115" i="1"/>
  <c r="AD115" i="1"/>
  <c r="D116" i="1"/>
  <c r="E116" i="1"/>
  <c r="G116" i="1"/>
  <c r="I116" i="1"/>
  <c r="J116" i="1"/>
  <c r="O116" i="1"/>
  <c r="T116" i="1"/>
  <c r="X116" i="1"/>
  <c r="Y116" i="1"/>
  <c r="AC116" i="1"/>
  <c r="AD116" i="1"/>
  <c r="D117" i="1"/>
  <c r="E117" i="1"/>
  <c r="G117" i="1"/>
  <c r="I117" i="1"/>
  <c r="J117" i="1"/>
  <c r="O117" i="1"/>
  <c r="T117" i="1"/>
  <c r="X117" i="1"/>
  <c r="Y117" i="1"/>
  <c r="AC117" i="1"/>
  <c r="AD117" i="1"/>
  <c r="D118" i="1"/>
  <c r="E118" i="1"/>
  <c r="G118" i="1"/>
  <c r="I118" i="1"/>
  <c r="N118" i="1"/>
  <c r="O118" i="1"/>
  <c r="S118" i="1"/>
  <c r="T118" i="1"/>
  <c r="Y118" i="1"/>
  <c r="AC118" i="1"/>
  <c r="AD118" i="1"/>
  <c r="D119" i="1"/>
  <c r="E119" i="1"/>
  <c r="G119" i="1"/>
  <c r="J119" i="1"/>
  <c r="N119" i="1"/>
  <c r="O119" i="1"/>
  <c r="S119" i="1"/>
  <c r="T119" i="1"/>
  <c r="X119" i="1"/>
  <c r="Y119" i="1"/>
  <c r="AC119" i="1"/>
  <c r="D120" i="1"/>
  <c r="E120" i="1"/>
  <c r="G120" i="1"/>
  <c r="I120" i="1"/>
  <c r="J120" i="1"/>
  <c r="N120" i="1"/>
  <c r="O120" i="1"/>
  <c r="S120" i="1"/>
  <c r="X120" i="1"/>
  <c r="Y120" i="1"/>
  <c r="AD120" i="1"/>
  <c r="D121" i="1"/>
  <c r="E121" i="1"/>
  <c r="I121" i="1"/>
  <c r="J121" i="1"/>
  <c r="O121" i="1"/>
  <c r="T121" i="1"/>
  <c r="Y121" i="1"/>
  <c r="AC121" i="1"/>
  <c r="AD121" i="1"/>
  <c r="D122" i="1"/>
  <c r="E122" i="1"/>
  <c r="G122" i="1"/>
  <c r="I122" i="1"/>
  <c r="J122" i="1"/>
  <c r="N122" i="1"/>
  <c r="O122" i="1"/>
  <c r="S122" i="1"/>
  <c r="T122" i="1"/>
  <c r="X122" i="1"/>
  <c r="Y122" i="1"/>
  <c r="AC122" i="1"/>
  <c r="AD122" i="1"/>
  <c r="D123" i="1"/>
  <c r="E123" i="1"/>
  <c r="G123" i="1"/>
  <c r="I123" i="1"/>
  <c r="J123" i="1"/>
  <c r="N123" i="1"/>
  <c r="O123" i="1"/>
  <c r="S123" i="1"/>
  <c r="T123" i="1"/>
  <c r="X123" i="1"/>
  <c r="Y123" i="1"/>
  <c r="AC123" i="1"/>
  <c r="AD123" i="1"/>
  <c r="D124" i="1"/>
  <c r="E124" i="1"/>
  <c r="G124" i="1"/>
  <c r="I124" i="1"/>
  <c r="J124" i="1"/>
  <c r="N124" i="1"/>
  <c r="O124" i="1"/>
  <c r="S124" i="1"/>
  <c r="T124" i="1"/>
  <c r="Y124" i="1"/>
  <c r="AC124" i="1"/>
  <c r="AD124" i="1"/>
  <c r="D125" i="1"/>
  <c r="E125" i="1"/>
  <c r="G125" i="1"/>
  <c r="I125" i="1"/>
  <c r="J125" i="1"/>
  <c r="N125" i="1"/>
  <c r="O125" i="1"/>
  <c r="S125" i="1"/>
  <c r="T125" i="1"/>
  <c r="X125" i="1"/>
  <c r="Y125" i="1"/>
  <c r="AC125" i="1"/>
  <c r="AD125" i="1"/>
  <c r="D126" i="1"/>
  <c r="E126" i="1"/>
  <c r="G126" i="1"/>
  <c r="I126" i="1"/>
  <c r="J126" i="1"/>
  <c r="N126" i="1"/>
  <c r="O126" i="1"/>
  <c r="S126" i="1"/>
  <c r="T126" i="1"/>
  <c r="Y126" i="1"/>
  <c r="AC126" i="1"/>
  <c r="AD126" i="1"/>
  <c r="D127" i="1"/>
  <c r="E127" i="1"/>
  <c r="G127" i="1"/>
  <c r="I127" i="1"/>
  <c r="J127" i="1"/>
  <c r="N127" i="1"/>
  <c r="O127" i="1"/>
  <c r="S127" i="1"/>
  <c r="T127" i="1"/>
  <c r="Y127" i="1"/>
  <c r="AC127" i="1"/>
  <c r="AD127" i="1"/>
  <c r="D128" i="1"/>
  <c r="E128" i="1"/>
  <c r="G128" i="1"/>
  <c r="I128" i="1"/>
  <c r="J128" i="1"/>
  <c r="N128" i="1"/>
  <c r="O128" i="1"/>
  <c r="S128" i="1"/>
  <c r="T128" i="1"/>
  <c r="X128" i="1"/>
  <c r="Y128" i="1"/>
  <c r="AC128" i="1"/>
  <c r="AD128" i="1"/>
  <c r="D129" i="1"/>
  <c r="E129" i="1"/>
  <c r="G129" i="1"/>
  <c r="I129" i="1"/>
  <c r="J129" i="1"/>
  <c r="N129" i="1"/>
  <c r="O129" i="1"/>
  <c r="S129" i="1"/>
  <c r="T129" i="1"/>
  <c r="Y129" i="1"/>
  <c r="AC129" i="1"/>
  <c r="AD129" i="1"/>
  <c r="D130" i="1"/>
  <c r="E130" i="1"/>
  <c r="G130" i="1"/>
  <c r="I130" i="1"/>
  <c r="J130" i="1"/>
  <c r="N130" i="1"/>
  <c r="O130" i="1"/>
  <c r="S130" i="1"/>
  <c r="T130" i="1"/>
  <c r="X130" i="1"/>
  <c r="Y130" i="1"/>
  <c r="AC130" i="1"/>
  <c r="AD130" i="1"/>
  <c r="D131" i="1"/>
  <c r="E131" i="1"/>
  <c r="G131" i="1"/>
  <c r="I131" i="1"/>
  <c r="J131" i="1"/>
  <c r="N131" i="1"/>
  <c r="O131" i="1"/>
  <c r="S131" i="1"/>
  <c r="T131" i="1"/>
  <c r="X131" i="1"/>
  <c r="Y131" i="1"/>
  <c r="AC131" i="1"/>
  <c r="AD131" i="1"/>
  <c r="D132" i="1"/>
  <c r="E132" i="1"/>
  <c r="G132" i="1"/>
  <c r="I132" i="1"/>
  <c r="J132" i="1"/>
  <c r="N132" i="1"/>
  <c r="O132" i="1"/>
  <c r="S132" i="1"/>
  <c r="T132" i="1"/>
  <c r="Y132" i="1"/>
  <c r="AC132" i="1"/>
  <c r="AD132" i="1"/>
  <c r="D133" i="1"/>
  <c r="E133" i="1"/>
  <c r="G133" i="1"/>
  <c r="I133" i="1"/>
  <c r="J133" i="1"/>
  <c r="N133" i="1"/>
  <c r="O133" i="1"/>
  <c r="S133" i="1"/>
  <c r="T133" i="1"/>
  <c r="X133" i="1"/>
  <c r="Y133" i="1"/>
  <c r="AC133" i="1"/>
  <c r="AD133" i="1"/>
  <c r="D134" i="1"/>
  <c r="E134" i="1"/>
  <c r="G134" i="1"/>
  <c r="I134" i="1"/>
  <c r="J134" i="1"/>
  <c r="N134" i="1"/>
  <c r="O134" i="1"/>
  <c r="S134" i="1"/>
  <c r="T134" i="1"/>
  <c r="Y134" i="1"/>
  <c r="AC134" i="1"/>
  <c r="AD134" i="1"/>
  <c r="D135" i="1"/>
  <c r="E135" i="1"/>
  <c r="G135" i="1"/>
  <c r="I135" i="1"/>
  <c r="J135" i="1"/>
  <c r="N135" i="1"/>
  <c r="O135" i="1"/>
  <c r="S135" i="1"/>
  <c r="T135" i="1"/>
  <c r="Y135" i="1"/>
  <c r="AC135" i="1"/>
  <c r="AD135" i="1"/>
  <c r="D136" i="1"/>
  <c r="E136" i="1"/>
  <c r="G136" i="1"/>
  <c r="I136" i="1"/>
  <c r="J136" i="1"/>
  <c r="N136" i="1"/>
  <c r="O136" i="1"/>
  <c r="S136" i="1"/>
  <c r="T136" i="1"/>
  <c r="X136" i="1"/>
  <c r="Y136" i="1"/>
  <c r="AC136" i="1"/>
  <c r="AD136" i="1"/>
  <c r="D137" i="1"/>
  <c r="E137" i="1"/>
  <c r="G137" i="1"/>
  <c r="I137" i="1"/>
  <c r="J137" i="1"/>
  <c r="N137" i="1"/>
  <c r="O137" i="1"/>
  <c r="S137" i="1"/>
  <c r="T137" i="1"/>
  <c r="Y137" i="1"/>
  <c r="AC137" i="1"/>
  <c r="AD137" i="1"/>
  <c r="D138" i="1"/>
  <c r="E138" i="1"/>
  <c r="G138" i="1"/>
  <c r="I138" i="1"/>
  <c r="J138" i="1"/>
  <c r="N138" i="1"/>
  <c r="O138" i="1"/>
  <c r="S138" i="1"/>
  <c r="T138" i="1"/>
  <c r="Y138" i="1"/>
  <c r="AC138" i="1"/>
  <c r="AD138" i="1"/>
  <c r="D139" i="1"/>
  <c r="E139" i="1"/>
  <c r="G139" i="1"/>
  <c r="I139" i="1"/>
  <c r="J139" i="1"/>
  <c r="N139" i="1"/>
  <c r="O139" i="1"/>
  <c r="S139" i="1"/>
  <c r="T139" i="1"/>
  <c r="X139" i="1"/>
  <c r="Y139" i="1"/>
  <c r="AC139" i="1"/>
  <c r="AD139" i="1"/>
  <c r="D140" i="1"/>
  <c r="E140" i="1"/>
  <c r="G140" i="1"/>
  <c r="I140" i="1"/>
  <c r="J140" i="1"/>
  <c r="N140" i="1"/>
  <c r="O140" i="1"/>
  <c r="S140" i="1"/>
  <c r="T140" i="1"/>
  <c r="X140" i="1"/>
  <c r="Y140" i="1"/>
  <c r="AC140" i="1"/>
  <c r="AD140" i="1"/>
  <c r="D141" i="1"/>
  <c r="E141" i="1"/>
  <c r="G141" i="1"/>
  <c r="I141" i="1"/>
  <c r="J141" i="1"/>
  <c r="N141" i="1"/>
  <c r="O141" i="1"/>
  <c r="S141" i="1"/>
  <c r="T141" i="1"/>
  <c r="Y141" i="1"/>
  <c r="AC141" i="1"/>
  <c r="AD141" i="1"/>
  <c r="D142" i="1"/>
  <c r="E142" i="1"/>
  <c r="G142" i="1"/>
  <c r="I142" i="1"/>
  <c r="J142" i="1"/>
  <c r="N142" i="1"/>
  <c r="O142" i="1"/>
  <c r="S142" i="1"/>
  <c r="T142" i="1"/>
  <c r="Y142" i="1"/>
  <c r="AC142" i="1"/>
  <c r="AD142" i="1"/>
  <c r="D143" i="1"/>
  <c r="E143" i="1"/>
  <c r="G143" i="1"/>
  <c r="I143" i="1"/>
  <c r="J143" i="1"/>
  <c r="N143" i="1"/>
  <c r="O143" i="1"/>
  <c r="S143" i="1"/>
  <c r="T143" i="1"/>
  <c r="X143" i="1"/>
  <c r="Y143" i="1"/>
  <c r="AC143" i="1"/>
  <c r="AD143" i="1"/>
  <c r="D144" i="1"/>
  <c r="E144" i="1"/>
  <c r="G144" i="1"/>
  <c r="I144" i="1"/>
  <c r="J144" i="1"/>
  <c r="N144" i="1"/>
  <c r="O144" i="1"/>
  <c r="S144" i="1"/>
  <c r="T144" i="1"/>
  <c r="X144" i="1"/>
  <c r="Y144" i="1"/>
  <c r="AC144" i="1"/>
  <c r="AD144" i="1"/>
  <c r="D145" i="1"/>
  <c r="E145" i="1"/>
  <c r="G145" i="1"/>
  <c r="I145" i="1"/>
  <c r="J145" i="1"/>
  <c r="N145" i="1"/>
  <c r="O145" i="1"/>
  <c r="S145" i="1"/>
  <c r="T145" i="1"/>
  <c r="Y145" i="1"/>
  <c r="AC145" i="1"/>
  <c r="AD145" i="1"/>
  <c r="D146" i="1"/>
  <c r="E146" i="1"/>
  <c r="G146" i="1"/>
  <c r="I146" i="1"/>
  <c r="J146" i="1"/>
  <c r="N146" i="1"/>
  <c r="O146" i="1"/>
  <c r="S146" i="1"/>
  <c r="T146" i="1"/>
  <c r="Y146" i="1"/>
  <c r="AC146" i="1"/>
  <c r="AD146" i="1"/>
  <c r="D147" i="1"/>
  <c r="E147" i="1"/>
  <c r="G147" i="1"/>
  <c r="I147" i="1"/>
  <c r="J147" i="1"/>
  <c r="N147" i="1"/>
  <c r="O147" i="1"/>
  <c r="S147" i="1"/>
  <c r="T147" i="1"/>
  <c r="X147" i="1"/>
  <c r="Y147" i="1"/>
  <c r="AC147" i="1"/>
  <c r="AD147" i="1"/>
  <c r="D148" i="1"/>
  <c r="E148" i="1"/>
  <c r="G148" i="1"/>
  <c r="I148" i="1"/>
  <c r="J148" i="1"/>
  <c r="N148" i="1"/>
  <c r="O148" i="1"/>
  <c r="S148" i="1"/>
  <c r="T148" i="1"/>
  <c r="X148" i="1"/>
  <c r="Y148" i="1"/>
  <c r="AC148" i="1"/>
  <c r="AD148" i="1"/>
  <c r="D149" i="1"/>
  <c r="E149" i="1"/>
  <c r="G149" i="1"/>
  <c r="I149" i="1"/>
  <c r="J149" i="1"/>
  <c r="N149" i="1"/>
  <c r="O149" i="1"/>
  <c r="S149" i="1"/>
  <c r="T149" i="1"/>
  <c r="Y149" i="1"/>
  <c r="AC149" i="1"/>
  <c r="AD149" i="1"/>
  <c r="D150" i="1"/>
  <c r="E150" i="1"/>
  <c r="G150" i="1"/>
  <c r="I150" i="1"/>
  <c r="J150" i="1"/>
  <c r="N150" i="1"/>
  <c r="O150" i="1"/>
  <c r="S150" i="1"/>
  <c r="T150" i="1"/>
  <c r="Y150" i="1"/>
  <c r="AC150" i="1"/>
  <c r="AD150" i="1"/>
  <c r="D151" i="1"/>
  <c r="E151" i="1"/>
  <c r="G151" i="1"/>
  <c r="I151" i="1"/>
  <c r="J151" i="1"/>
  <c r="N151" i="1"/>
  <c r="O151" i="1"/>
  <c r="S151" i="1"/>
  <c r="T151" i="1"/>
  <c r="X151" i="1"/>
  <c r="Y151" i="1"/>
  <c r="AC151" i="1"/>
  <c r="AD151" i="1"/>
  <c r="D152" i="1"/>
  <c r="E152" i="1"/>
  <c r="G152" i="1"/>
  <c r="I152" i="1"/>
  <c r="J152" i="1"/>
  <c r="N152" i="1"/>
  <c r="O152" i="1"/>
  <c r="S152" i="1"/>
  <c r="T152" i="1"/>
  <c r="X152" i="1"/>
  <c r="Y152" i="1"/>
  <c r="AC152" i="1"/>
  <c r="AD152" i="1"/>
  <c r="D153" i="1"/>
  <c r="E153" i="1"/>
  <c r="G153" i="1"/>
  <c r="I153" i="1"/>
  <c r="J153" i="1"/>
  <c r="N153" i="1"/>
  <c r="O153" i="1"/>
  <c r="S153" i="1"/>
  <c r="T153" i="1"/>
  <c r="Y153" i="1"/>
  <c r="AC153" i="1"/>
  <c r="AD153" i="1"/>
  <c r="D154" i="1"/>
  <c r="E154" i="1"/>
  <c r="G154" i="1"/>
  <c r="I154" i="1"/>
  <c r="J154" i="1"/>
  <c r="N154" i="1"/>
  <c r="O154" i="1"/>
  <c r="S154" i="1"/>
  <c r="T154" i="1"/>
  <c r="Y154" i="1"/>
  <c r="AC154" i="1"/>
  <c r="AD154" i="1"/>
  <c r="D155" i="1"/>
  <c r="E155" i="1"/>
  <c r="G155" i="1"/>
  <c r="I155" i="1"/>
  <c r="J155" i="1"/>
  <c r="N155" i="1"/>
  <c r="O155" i="1"/>
  <c r="S155" i="1"/>
  <c r="T155" i="1"/>
  <c r="X155" i="1"/>
  <c r="Y155" i="1"/>
  <c r="AC155" i="1"/>
  <c r="AD155" i="1"/>
  <c r="D156" i="1"/>
  <c r="E156" i="1"/>
  <c r="G156" i="1"/>
  <c r="I156" i="1"/>
  <c r="J156" i="1"/>
  <c r="N156" i="1"/>
  <c r="O156" i="1"/>
  <c r="S156" i="1"/>
  <c r="T156" i="1"/>
  <c r="X156" i="1"/>
  <c r="Y156" i="1"/>
  <c r="AC156" i="1"/>
  <c r="AD156" i="1"/>
  <c r="D157" i="1"/>
  <c r="E157" i="1"/>
  <c r="G157" i="1"/>
  <c r="I157" i="1"/>
  <c r="J157" i="1"/>
  <c r="N157" i="1"/>
  <c r="O157" i="1"/>
  <c r="S157" i="1"/>
  <c r="T157" i="1"/>
  <c r="Y157" i="1"/>
  <c r="AC157" i="1"/>
  <c r="AD157" i="1"/>
  <c r="D158" i="1"/>
  <c r="E158" i="1"/>
  <c r="G158" i="1"/>
  <c r="I158" i="1"/>
  <c r="J158" i="1"/>
  <c r="N158" i="1"/>
  <c r="O158" i="1"/>
  <c r="S158" i="1"/>
  <c r="T158" i="1"/>
  <c r="Y158" i="1"/>
  <c r="AC158" i="1"/>
  <c r="AD158" i="1"/>
  <c r="D159" i="1"/>
  <c r="E159" i="1"/>
  <c r="G159" i="1"/>
  <c r="I159" i="1"/>
  <c r="J159" i="1"/>
  <c r="N159" i="1"/>
  <c r="O159" i="1"/>
  <c r="S159" i="1"/>
  <c r="T159" i="1"/>
  <c r="X159" i="1"/>
  <c r="Y159" i="1"/>
  <c r="AC159" i="1"/>
  <c r="AD159" i="1"/>
  <c r="D160" i="1"/>
  <c r="E160" i="1"/>
  <c r="G160" i="1"/>
  <c r="I160" i="1"/>
  <c r="J160" i="1"/>
  <c r="N160" i="1"/>
  <c r="O160" i="1"/>
  <c r="S160" i="1"/>
  <c r="T160" i="1"/>
  <c r="X160" i="1"/>
  <c r="Y160" i="1"/>
  <c r="AC160" i="1"/>
  <c r="AD160" i="1"/>
  <c r="D161" i="1"/>
  <c r="E161" i="1"/>
  <c r="G161" i="1"/>
  <c r="I161" i="1"/>
  <c r="J161" i="1"/>
  <c r="N161" i="1"/>
  <c r="O161" i="1"/>
  <c r="S161" i="1"/>
  <c r="T161" i="1"/>
  <c r="Y161" i="1"/>
  <c r="AC161" i="1"/>
  <c r="AD161" i="1"/>
  <c r="D162" i="1"/>
  <c r="E162" i="1"/>
  <c r="G162" i="1"/>
  <c r="I162" i="1"/>
  <c r="J162" i="1"/>
  <c r="N162" i="1"/>
  <c r="O162" i="1"/>
  <c r="S162" i="1"/>
  <c r="T162" i="1"/>
  <c r="Y162" i="1"/>
  <c r="AC162" i="1"/>
  <c r="AD162" i="1"/>
  <c r="D163" i="1"/>
  <c r="E163" i="1"/>
  <c r="G163" i="1"/>
  <c r="I163" i="1"/>
  <c r="J163" i="1"/>
  <c r="N163" i="1"/>
  <c r="O163" i="1"/>
  <c r="S163" i="1"/>
  <c r="T163" i="1"/>
  <c r="X163" i="1"/>
  <c r="Y163" i="1"/>
  <c r="AC163" i="1"/>
  <c r="AD163" i="1"/>
  <c r="D164" i="1"/>
  <c r="E164" i="1"/>
  <c r="G164" i="1"/>
  <c r="I164" i="1"/>
  <c r="J164" i="1"/>
  <c r="N164" i="1"/>
  <c r="O164" i="1"/>
  <c r="S164" i="1"/>
  <c r="T164" i="1"/>
  <c r="X164" i="1"/>
  <c r="Y164" i="1"/>
  <c r="AC164" i="1"/>
  <c r="AD164" i="1"/>
  <c r="D165" i="1"/>
  <c r="E165" i="1"/>
  <c r="G165" i="1"/>
  <c r="I165" i="1"/>
  <c r="J165" i="1"/>
  <c r="N165" i="1"/>
  <c r="O165" i="1"/>
  <c r="S165" i="1"/>
  <c r="T165" i="1"/>
  <c r="Y165" i="1"/>
  <c r="AC165" i="1"/>
  <c r="AD165" i="1"/>
  <c r="D166" i="1"/>
  <c r="E166" i="1"/>
  <c r="G166" i="1"/>
  <c r="I166" i="1"/>
  <c r="J166" i="1"/>
  <c r="N166" i="1"/>
  <c r="O166" i="1"/>
  <c r="S166" i="1"/>
  <c r="T166" i="1"/>
  <c r="Y166" i="1"/>
  <c r="AC166" i="1"/>
  <c r="AD166" i="1"/>
  <c r="D167" i="1"/>
  <c r="E167" i="1"/>
  <c r="G167" i="1"/>
  <c r="I167" i="1"/>
  <c r="J167" i="1"/>
  <c r="N167" i="1"/>
  <c r="O167" i="1"/>
  <c r="S167" i="1"/>
  <c r="T167" i="1"/>
  <c r="X167" i="1"/>
  <c r="Y167" i="1"/>
  <c r="AC167" i="1"/>
  <c r="AD167" i="1"/>
  <c r="D168" i="1"/>
  <c r="E168" i="1"/>
  <c r="G168" i="1"/>
  <c r="I168" i="1"/>
  <c r="J168" i="1"/>
  <c r="N168" i="1"/>
  <c r="O168" i="1"/>
  <c r="S168" i="1"/>
  <c r="T168" i="1"/>
  <c r="X168" i="1"/>
  <c r="Y168" i="1"/>
  <c r="AC168" i="1"/>
  <c r="AD168" i="1"/>
  <c r="D169" i="1"/>
  <c r="E169" i="1"/>
  <c r="G169" i="1"/>
  <c r="I169" i="1"/>
  <c r="J169" i="1"/>
  <c r="N169" i="1"/>
  <c r="O169" i="1"/>
  <c r="S169" i="1"/>
  <c r="T169" i="1"/>
  <c r="Y169" i="1"/>
  <c r="AC169" i="1"/>
  <c r="AD169" i="1"/>
  <c r="D170" i="1"/>
  <c r="E170" i="1"/>
  <c r="G170" i="1"/>
  <c r="I170" i="1"/>
  <c r="J170" i="1"/>
  <c r="N170" i="1"/>
  <c r="O170" i="1"/>
  <c r="S170" i="1"/>
  <c r="T170" i="1"/>
  <c r="Y170" i="1"/>
  <c r="AC170" i="1"/>
  <c r="AD170" i="1"/>
  <c r="D171" i="1"/>
  <c r="E171" i="1"/>
  <c r="G171" i="1"/>
  <c r="I171" i="1"/>
  <c r="J171" i="1"/>
  <c r="N171" i="1"/>
  <c r="O171" i="1"/>
  <c r="S171" i="1"/>
  <c r="T171" i="1"/>
  <c r="X171" i="1"/>
  <c r="Y171" i="1"/>
  <c r="AC171" i="1"/>
  <c r="AD171" i="1"/>
  <c r="D172" i="1"/>
  <c r="E172" i="1"/>
  <c r="G172" i="1"/>
  <c r="I172" i="1"/>
  <c r="J172" i="1"/>
  <c r="N172" i="1"/>
  <c r="O172" i="1"/>
  <c r="S172" i="1"/>
  <c r="T172" i="1"/>
  <c r="X172" i="1"/>
  <c r="Y172" i="1"/>
  <c r="AC172" i="1"/>
  <c r="AD172" i="1"/>
  <c r="D173" i="1"/>
  <c r="E173" i="1"/>
  <c r="G173" i="1"/>
  <c r="I173" i="1"/>
  <c r="J173" i="1"/>
  <c r="N173" i="1"/>
  <c r="O173" i="1"/>
  <c r="S173" i="1"/>
  <c r="T173" i="1"/>
  <c r="Y173" i="1"/>
  <c r="AC173" i="1"/>
  <c r="AD173" i="1"/>
  <c r="D174" i="1"/>
  <c r="E174" i="1"/>
  <c r="G174" i="1"/>
  <c r="I174" i="1"/>
  <c r="J174" i="1"/>
  <c r="N174" i="1"/>
  <c r="O174" i="1"/>
  <c r="S174" i="1"/>
  <c r="T174" i="1"/>
  <c r="Y174" i="1"/>
  <c r="AC174" i="1"/>
  <c r="AD174" i="1"/>
  <c r="D175" i="1"/>
  <c r="E175" i="1"/>
  <c r="G175" i="1"/>
  <c r="I175" i="1"/>
  <c r="J175" i="1"/>
  <c r="N175" i="1"/>
  <c r="O175" i="1"/>
  <c r="S175" i="1"/>
  <c r="T175" i="1"/>
  <c r="X175" i="1"/>
  <c r="Y175" i="1"/>
  <c r="AC175" i="1"/>
  <c r="AD175" i="1"/>
  <c r="D176" i="1"/>
  <c r="E176" i="1"/>
  <c r="G176" i="1"/>
  <c r="I176" i="1"/>
  <c r="J176" i="1"/>
  <c r="N176" i="1"/>
  <c r="O176" i="1"/>
  <c r="S176" i="1"/>
  <c r="T176" i="1"/>
  <c r="X176" i="1"/>
  <c r="Y176" i="1"/>
  <c r="AC176" i="1"/>
  <c r="AD176" i="1"/>
  <c r="D177" i="1"/>
  <c r="E177" i="1"/>
  <c r="G177" i="1"/>
  <c r="I177" i="1"/>
  <c r="J177" i="1"/>
  <c r="N177" i="1"/>
  <c r="O177" i="1"/>
  <c r="S177" i="1"/>
  <c r="T177" i="1"/>
  <c r="Y177" i="1"/>
  <c r="AC177" i="1"/>
  <c r="AD177" i="1"/>
  <c r="D178" i="1"/>
  <c r="E178" i="1"/>
  <c r="G178" i="1"/>
  <c r="I178" i="1"/>
  <c r="J178" i="1"/>
  <c r="N178" i="1"/>
  <c r="O178" i="1"/>
  <c r="S178" i="1"/>
  <c r="T178" i="1"/>
  <c r="Y178" i="1"/>
  <c r="AC178" i="1"/>
  <c r="AD178" i="1"/>
  <c r="D179" i="1"/>
  <c r="E179" i="1"/>
  <c r="G179" i="1"/>
  <c r="I179" i="1"/>
  <c r="J179" i="1"/>
  <c r="N179" i="1"/>
  <c r="O179" i="1"/>
  <c r="S179" i="1"/>
  <c r="T179" i="1"/>
  <c r="X179" i="1"/>
  <c r="Y179" i="1"/>
  <c r="AC179" i="1"/>
  <c r="AD179" i="1"/>
  <c r="D180" i="1"/>
  <c r="E180" i="1"/>
  <c r="G180" i="1"/>
  <c r="I180" i="1"/>
  <c r="J180" i="1"/>
  <c r="N180" i="1"/>
  <c r="O180" i="1"/>
  <c r="S180" i="1"/>
  <c r="T180" i="1"/>
  <c r="X180" i="1"/>
  <c r="Y180" i="1"/>
  <c r="AC180" i="1"/>
  <c r="AD180" i="1"/>
  <c r="D181" i="1"/>
  <c r="E181" i="1"/>
  <c r="G181" i="1"/>
  <c r="I181" i="1"/>
  <c r="J181" i="1"/>
  <c r="N181" i="1"/>
  <c r="O181" i="1"/>
  <c r="S181" i="1"/>
  <c r="T181" i="1"/>
  <c r="Y181" i="1"/>
  <c r="AC181" i="1"/>
  <c r="AD181" i="1"/>
  <c r="D182" i="1"/>
  <c r="E182" i="1"/>
  <c r="G182" i="1"/>
  <c r="I182" i="1"/>
  <c r="J182" i="1"/>
  <c r="N182" i="1"/>
  <c r="O182" i="1"/>
  <c r="S182" i="1"/>
  <c r="T182" i="1"/>
  <c r="Y182" i="1"/>
  <c r="AC182" i="1"/>
  <c r="AD182" i="1"/>
  <c r="D183" i="1"/>
  <c r="E183" i="1"/>
  <c r="G183" i="1"/>
  <c r="I183" i="1"/>
  <c r="J183" i="1"/>
  <c r="N183" i="1"/>
  <c r="O183" i="1"/>
  <c r="S183" i="1"/>
  <c r="T183" i="1"/>
  <c r="X183" i="1"/>
  <c r="Y183" i="1"/>
  <c r="AC183" i="1"/>
  <c r="AD183" i="1"/>
  <c r="D184" i="1"/>
  <c r="E184" i="1"/>
  <c r="G184" i="1"/>
  <c r="I184" i="1"/>
  <c r="J184" i="1"/>
  <c r="N184" i="1"/>
  <c r="O184" i="1"/>
  <c r="S184" i="1"/>
  <c r="T184" i="1"/>
  <c r="X184" i="1"/>
  <c r="Y184" i="1"/>
  <c r="AC184" i="1"/>
  <c r="AD184" i="1"/>
  <c r="D185" i="1"/>
  <c r="E185" i="1"/>
  <c r="G185" i="1"/>
  <c r="I185" i="1"/>
  <c r="J185" i="1"/>
  <c r="N185" i="1"/>
  <c r="O185" i="1"/>
  <c r="S185" i="1"/>
  <c r="T185" i="1"/>
  <c r="Y185" i="1"/>
  <c r="AC185" i="1"/>
  <c r="AD185" i="1"/>
  <c r="D186" i="1"/>
  <c r="E186" i="1"/>
  <c r="G186" i="1"/>
  <c r="I186" i="1"/>
  <c r="J186" i="1"/>
  <c r="N186" i="1"/>
  <c r="O186" i="1"/>
  <c r="S186" i="1"/>
  <c r="T186" i="1"/>
  <c r="Y186" i="1"/>
  <c r="AC186" i="1"/>
  <c r="AD186" i="1"/>
  <c r="D187" i="1"/>
  <c r="E187" i="1"/>
  <c r="G187" i="1"/>
  <c r="I187" i="1"/>
  <c r="J187" i="1"/>
  <c r="N187" i="1"/>
  <c r="O187" i="1"/>
  <c r="S187" i="1"/>
  <c r="T187" i="1"/>
  <c r="X187" i="1"/>
  <c r="Y187" i="1"/>
  <c r="AC187" i="1"/>
  <c r="AD187" i="1"/>
  <c r="D188" i="1"/>
  <c r="E188" i="1"/>
  <c r="G188" i="1"/>
  <c r="I188" i="1"/>
  <c r="J188" i="1"/>
  <c r="N188" i="1"/>
  <c r="O188" i="1"/>
  <c r="S188" i="1"/>
  <c r="T188" i="1"/>
  <c r="X188" i="1"/>
  <c r="Y188" i="1"/>
  <c r="AC188" i="1"/>
  <c r="AD188" i="1"/>
  <c r="D189" i="1"/>
  <c r="E189" i="1"/>
  <c r="G189" i="1"/>
  <c r="I189" i="1"/>
  <c r="J189" i="1"/>
  <c r="N189" i="1"/>
  <c r="O189" i="1"/>
  <c r="S189" i="1"/>
  <c r="T189" i="1"/>
  <c r="Y189" i="1"/>
  <c r="AC189" i="1"/>
  <c r="AD189" i="1"/>
  <c r="D190" i="1"/>
  <c r="E190" i="1"/>
  <c r="G190" i="1"/>
  <c r="I190" i="1"/>
  <c r="J190" i="1"/>
  <c r="N190" i="1"/>
  <c r="O190" i="1"/>
  <c r="S190" i="1"/>
  <c r="T190" i="1"/>
  <c r="Y190" i="1"/>
  <c r="AC190" i="1"/>
  <c r="AD190" i="1"/>
  <c r="D191" i="1"/>
  <c r="E191" i="1"/>
  <c r="G191" i="1"/>
  <c r="I191" i="1"/>
  <c r="J191" i="1"/>
  <c r="N191" i="1"/>
  <c r="O191" i="1"/>
  <c r="S191" i="1"/>
  <c r="T191" i="1"/>
  <c r="X191" i="1"/>
  <c r="Y191" i="1"/>
  <c r="AC191" i="1"/>
  <c r="AD191" i="1"/>
  <c r="D192" i="1"/>
  <c r="E192" i="1"/>
  <c r="G192" i="1"/>
  <c r="I192" i="1"/>
  <c r="J192" i="1"/>
  <c r="N192" i="1"/>
  <c r="O192" i="1"/>
  <c r="S192" i="1"/>
  <c r="T192" i="1"/>
  <c r="X192" i="1"/>
  <c r="Y192" i="1"/>
  <c r="AC192" i="1"/>
  <c r="AD192" i="1"/>
  <c r="D193" i="1"/>
  <c r="E193" i="1"/>
  <c r="G193" i="1"/>
  <c r="I193" i="1"/>
  <c r="J193" i="1"/>
  <c r="N193" i="1"/>
  <c r="O193" i="1"/>
  <c r="S193" i="1"/>
  <c r="T193" i="1"/>
  <c r="Y193" i="1"/>
  <c r="AC193" i="1"/>
  <c r="AD193" i="1"/>
  <c r="D194" i="1"/>
  <c r="E194" i="1"/>
  <c r="G194" i="1"/>
  <c r="I194" i="1"/>
  <c r="J194" i="1"/>
  <c r="N194" i="1"/>
  <c r="O194" i="1"/>
  <c r="S194" i="1"/>
  <c r="T194" i="1"/>
  <c r="Y194" i="1"/>
  <c r="AC194" i="1"/>
  <c r="AD194" i="1"/>
  <c r="D195" i="1"/>
  <c r="E195" i="1"/>
  <c r="G195" i="1"/>
  <c r="I195" i="1"/>
  <c r="J195" i="1"/>
  <c r="N195" i="1"/>
  <c r="O195" i="1"/>
  <c r="S195" i="1"/>
  <c r="T195" i="1"/>
  <c r="X195" i="1"/>
  <c r="Y195" i="1"/>
  <c r="AC195" i="1"/>
  <c r="AD195" i="1"/>
  <c r="D196" i="1"/>
  <c r="E196" i="1"/>
  <c r="G196" i="1"/>
  <c r="I196" i="1"/>
  <c r="J196" i="1"/>
  <c r="N196" i="1"/>
  <c r="O196" i="1"/>
  <c r="S196" i="1"/>
  <c r="T196" i="1"/>
  <c r="X196" i="1"/>
  <c r="Y196" i="1"/>
  <c r="AC196" i="1"/>
  <c r="AD196" i="1"/>
  <c r="D197" i="1"/>
  <c r="E197" i="1"/>
  <c r="G197" i="1"/>
  <c r="I197" i="1"/>
  <c r="J197" i="1"/>
  <c r="N197" i="1"/>
  <c r="O197" i="1"/>
  <c r="S197" i="1"/>
  <c r="T197" i="1"/>
  <c r="Y197" i="1"/>
  <c r="AC197" i="1"/>
  <c r="AD197" i="1"/>
  <c r="D198" i="1"/>
  <c r="E198" i="1"/>
  <c r="G198" i="1"/>
  <c r="I198" i="1"/>
  <c r="J198" i="1"/>
  <c r="N198" i="1"/>
  <c r="O198" i="1"/>
  <c r="S198" i="1"/>
  <c r="T198" i="1"/>
  <c r="Y198" i="1"/>
  <c r="AC198" i="1"/>
  <c r="AD198" i="1"/>
  <c r="D199" i="1"/>
  <c r="E199" i="1"/>
  <c r="G199" i="1"/>
  <c r="I199" i="1"/>
  <c r="J199" i="1"/>
  <c r="N199" i="1"/>
  <c r="O199" i="1"/>
  <c r="S199" i="1"/>
  <c r="T199" i="1"/>
  <c r="X199" i="1"/>
  <c r="Y199" i="1"/>
  <c r="AC199" i="1"/>
  <c r="AD199" i="1"/>
  <c r="D200" i="1"/>
  <c r="E200" i="1"/>
  <c r="G200" i="1"/>
  <c r="I200" i="1"/>
  <c r="J200" i="1"/>
  <c r="N200" i="1"/>
  <c r="O200" i="1"/>
  <c r="S200" i="1"/>
  <c r="T200" i="1"/>
  <c r="X200" i="1"/>
  <c r="Y200" i="1"/>
  <c r="AC200" i="1"/>
  <c r="AD200" i="1"/>
  <c r="D201" i="1"/>
  <c r="E201" i="1"/>
  <c r="G201" i="1"/>
  <c r="I201" i="1"/>
  <c r="J201" i="1"/>
  <c r="N201" i="1"/>
  <c r="O201" i="1"/>
  <c r="S201" i="1"/>
  <c r="T201" i="1"/>
  <c r="Y201" i="1"/>
  <c r="AC201" i="1"/>
  <c r="AD201" i="1"/>
  <c r="D202" i="1"/>
  <c r="E202" i="1"/>
  <c r="G202" i="1"/>
  <c r="I202" i="1"/>
  <c r="J202" i="1"/>
  <c r="N202" i="1"/>
  <c r="O202" i="1"/>
  <c r="S202" i="1"/>
  <c r="T202" i="1"/>
  <c r="Y202" i="1"/>
  <c r="AC202" i="1"/>
  <c r="AD202" i="1"/>
  <c r="D203" i="1"/>
  <c r="E203" i="1"/>
  <c r="G203" i="1"/>
  <c r="I203" i="1"/>
  <c r="J203" i="1"/>
  <c r="N203" i="1"/>
  <c r="O203" i="1"/>
  <c r="S203" i="1"/>
  <c r="T203" i="1"/>
  <c r="X203" i="1"/>
  <c r="Y203" i="1"/>
  <c r="AC203" i="1"/>
  <c r="AD203" i="1"/>
  <c r="D204" i="1"/>
  <c r="E204" i="1"/>
  <c r="G204" i="1"/>
  <c r="I204" i="1"/>
  <c r="J204" i="1"/>
  <c r="N204" i="1"/>
  <c r="O204" i="1"/>
  <c r="S204" i="1"/>
  <c r="T204" i="1"/>
  <c r="Y204" i="1"/>
  <c r="AC204" i="1"/>
  <c r="AD204" i="1"/>
  <c r="D205" i="1"/>
  <c r="E205" i="1"/>
  <c r="G205" i="1"/>
  <c r="I205" i="1"/>
  <c r="J205" i="1"/>
  <c r="N205" i="1"/>
  <c r="O205" i="1"/>
  <c r="S205" i="1"/>
  <c r="T205" i="1"/>
  <c r="Y205" i="1"/>
  <c r="AC205" i="1"/>
  <c r="AD205" i="1"/>
  <c r="D206" i="1"/>
  <c r="E206" i="1"/>
  <c r="G206" i="1"/>
  <c r="I206" i="1"/>
  <c r="J206" i="1"/>
  <c r="N206" i="1"/>
  <c r="O206" i="1"/>
  <c r="S206" i="1"/>
  <c r="T206" i="1"/>
  <c r="X206" i="1"/>
  <c r="Y206" i="1"/>
  <c r="AC206" i="1"/>
  <c r="AD206" i="1"/>
  <c r="G207" i="1"/>
  <c r="I207" i="1" s="1"/>
  <c r="AC6" i="1" l="1"/>
  <c r="T6" i="1"/>
  <c r="G6" i="1"/>
  <c r="F145" i="5"/>
  <c r="E151" i="5" s="1"/>
  <c r="E62" i="5"/>
  <c r="S6" i="1"/>
  <c r="R16" i="1" s="1"/>
  <c r="H161" i="4" s="1"/>
  <c r="E67" i="6"/>
  <c r="H19" i="4"/>
  <c r="D38" i="4" s="1"/>
  <c r="E238" i="5"/>
  <c r="X205" i="1"/>
  <c r="X204" i="1"/>
  <c r="X202" i="1"/>
  <c r="X201" i="1"/>
  <c r="X198" i="1"/>
  <c r="X197" i="1"/>
  <c r="X194" i="1"/>
  <c r="X193" i="1"/>
  <c r="X190" i="1"/>
  <c r="X189" i="1"/>
  <c r="X186" i="1"/>
  <c r="X185" i="1"/>
  <c r="X182" i="1"/>
  <c r="X181" i="1"/>
  <c r="X178" i="1"/>
  <c r="X177" i="1"/>
  <c r="X174" i="1"/>
  <c r="X173" i="1"/>
  <c r="X170" i="1"/>
  <c r="X169" i="1"/>
  <c r="X166" i="1"/>
  <c r="X165" i="1"/>
  <c r="X162" i="1"/>
  <c r="X161" i="1"/>
  <c r="X158" i="1"/>
  <c r="X157" i="1"/>
  <c r="X154" i="1"/>
  <c r="X153" i="1"/>
  <c r="X150" i="1"/>
  <c r="X149" i="1"/>
  <c r="X146" i="1"/>
  <c r="X145" i="1"/>
  <c r="X142" i="1"/>
  <c r="X141" i="1"/>
  <c r="X138" i="1"/>
  <c r="X137" i="1"/>
  <c r="X135" i="1"/>
  <c r="AB133" i="1"/>
  <c r="X132" i="1"/>
  <c r="X129" i="1"/>
  <c r="X127" i="1"/>
  <c r="AB125" i="1"/>
  <c r="X124" i="1"/>
  <c r="X121" i="1"/>
  <c r="AB119" i="1"/>
  <c r="X118" i="1"/>
  <c r="X115" i="1"/>
  <c r="X111" i="1"/>
  <c r="X109" i="1"/>
  <c r="X107" i="1"/>
  <c r="X105" i="1"/>
  <c r="X103" i="1"/>
  <c r="X101" i="1"/>
  <c r="X99" i="1"/>
  <c r="X97" i="1"/>
  <c r="X95" i="1"/>
  <c r="X93" i="1"/>
  <c r="X91" i="1"/>
  <c r="X89" i="1"/>
  <c r="X87" i="1"/>
  <c r="X85" i="1"/>
  <c r="X83" i="1"/>
  <c r="X81" i="1"/>
  <c r="X79" i="1"/>
  <c r="X77" i="1"/>
  <c r="X74" i="1"/>
  <c r="X71" i="1"/>
  <c r="X70" i="1"/>
  <c r="X67" i="1"/>
  <c r="X66" i="1"/>
  <c r="X64" i="1"/>
  <c r="AB60" i="1"/>
  <c r="X56" i="1"/>
  <c r="AB54" i="1"/>
  <c r="X53" i="1"/>
  <c r="X51" i="1"/>
  <c r="X46" i="1"/>
  <c r="X38" i="1"/>
  <c r="X35" i="1"/>
  <c r="X24" i="1"/>
  <c r="X20" i="1"/>
  <c r="X16" i="1"/>
  <c r="X11" i="1"/>
  <c r="F251" i="4"/>
  <c r="D251" i="4" s="1"/>
  <c r="H195" i="4"/>
  <c r="D214" i="4" s="1"/>
  <c r="AB195" i="1"/>
  <c r="AB191" i="1"/>
  <c r="AB187" i="1"/>
  <c r="AB183" i="1"/>
  <c r="AB179" i="1"/>
  <c r="AB175" i="1"/>
  <c r="AB171" i="1"/>
  <c r="AB167" i="1"/>
  <c r="AB163" i="1"/>
  <c r="AB159" i="1"/>
  <c r="AB155" i="1"/>
  <c r="AB151" i="1"/>
  <c r="AB147" i="1"/>
  <c r="AB143" i="1"/>
  <c r="AB139" i="1"/>
  <c r="X134" i="1"/>
  <c r="AB130" i="1"/>
  <c r="X126" i="1"/>
  <c r="AB122" i="1"/>
  <c r="X114" i="1"/>
  <c r="X113" i="1"/>
  <c r="X75" i="1"/>
  <c r="X72" i="1"/>
  <c r="X68" i="1"/>
  <c r="X62" i="1"/>
  <c r="X61" i="1"/>
  <c r="X58" i="1"/>
  <c r="X55" i="1"/>
  <c r="AB50" i="1"/>
  <c r="X49" i="1"/>
  <c r="X44" i="1"/>
  <c r="X42" i="1"/>
  <c r="AB41" i="1"/>
  <c r="X39" i="1"/>
  <c r="X34" i="1"/>
  <c r="X32" i="1"/>
  <c r="X30" i="1"/>
  <c r="X28" i="1"/>
  <c r="AB26" i="1"/>
  <c r="X21" i="1"/>
  <c r="X18" i="1"/>
  <c r="X14" i="1"/>
  <c r="X10" i="1"/>
  <c r="AC5" i="1"/>
  <c r="AB10" i="1"/>
  <c r="H243" i="4" s="1"/>
  <c r="AB24" i="1"/>
  <c r="AB28" i="1"/>
  <c r="AB32" i="1"/>
  <c r="AB36" i="1"/>
  <c r="AB40" i="1"/>
  <c r="AB57" i="1"/>
  <c r="AB65" i="1"/>
  <c r="AB12" i="1"/>
  <c r="H245" i="4" s="1"/>
  <c r="AB18" i="1"/>
  <c r="AB30" i="1"/>
  <c r="AB38" i="1"/>
  <c r="AB61" i="1"/>
  <c r="AB62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H16" i="1"/>
  <c r="H73" i="4" s="1"/>
  <c r="H26" i="1"/>
  <c r="H34" i="1"/>
  <c r="H58" i="1"/>
  <c r="H10" i="1"/>
  <c r="H67" i="4" s="1"/>
  <c r="H24" i="1"/>
  <c r="H32" i="1"/>
  <c r="H40" i="1"/>
  <c r="H120" i="1"/>
  <c r="AA8" i="1"/>
  <c r="AA63" i="1"/>
  <c r="F236" i="4"/>
  <c r="D254" i="4" s="1"/>
  <c r="D254" i="5"/>
  <c r="H151" i="4"/>
  <c r="D170" i="4" s="1"/>
  <c r="F163" i="4"/>
  <c r="D163" i="4" s="1"/>
  <c r="R10" i="1"/>
  <c r="H155" i="4" s="1"/>
  <c r="R17" i="1"/>
  <c r="H162" i="4" s="1"/>
  <c r="R21" i="1"/>
  <c r="R22" i="1"/>
  <c r="R23" i="1"/>
  <c r="R24" i="1"/>
  <c r="R32" i="1"/>
  <c r="R40" i="1"/>
  <c r="R57" i="1"/>
  <c r="R61" i="1"/>
  <c r="R66" i="1"/>
  <c r="R69" i="1"/>
  <c r="R70" i="1"/>
  <c r="R73" i="1"/>
  <c r="R74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8" i="1"/>
  <c r="R18" i="1"/>
  <c r="R27" i="1"/>
  <c r="R28" i="1"/>
  <c r="R35" i="1"/>
  <c r="R36" i="1"/>
  <c r="R58" i="1"/>
  <c r="R62" i="1"/>
  <c r="R63" i="1"/>
  <c r="R68" i="1"/>
  <c r="R72" i="1"/>
  <c r="R76" i="1"/>
  <c r="R118" i="1"/>
  <c r="F148" i="4"/>
  <c r="D166" i="4" s="1"/>
  <c r="D166" i="5"/>
  <c r="D249" i="4"/>
  <c r="AD42" i="1"/>
  <c r="AD50" i="1"/>
  <c r="AD56" i="1"/>
  <c r="AD60" i="1"/>
  <c r="AD67" i="1"/>
  <c r="AD71" i="1"/>
  <c r="AD75" i="1"/>
  <c r="AD57" i="1"/>
  <c r="AD65" i="1"/>
  <c r="AC66" i="1"/>
  <c r="AC70" i="1"/>
  <c r="AC74" i="1"/>
  <c r="AD119" i="1"/>
  <c r="AC120" i="1"/>
  <c r="T56" i="1"/>
  <c r="T59" i="1"/>
  <c r="T60" i="1"/>
  <c r="T65" i="1"/>
  <c r="S67" i="1"/>
  <c r="S71" i="1"/>
  <c r="S75" i="1"/>
  <c r="F137" i="5"/>
  <c r="F137" i="4" s="1"/>
  <c r="T57" i="1"/>
  <c r="T61" i="1"/>
  <c r="S66" i="1"/>
  <c r="T67" i="1"/>
  <c r="S69" i="1"/>
  <c r="S70" i="1"/>
  <c r="T71" i="1"/>
  <c r="S73" i="1"/>
  <c r="S74" i="1"/>
  <c r="T75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T120" i="1"/>
  <c r="S121" i="1"/>
  <c r="D72" i="5"/>
  <c r="J57" i="1"/>
  <c r="J59" i="1"/>
  <c r="J61" i="1"/>
  <c r="J66" i="1"/>
  <c r="I68" i="1"/>
  <c r="J69" i="1"/>
  <c r="J70" i="1"/>
  <c r="I72" i="1"/>
  <c r="J73" i="1"/>
  <c r="J74" i="1"/>
  <c r="I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58" i="1"/>
  <c r="J62" i="1"/>
  <c r="J68" i="1"/>
  <c r="J72" i="1"/>
  <c r="J76" i="1"/>
  <c r="J118" i="1"/>
  <c r="I119" i="1"/>
  <c r="R207" i="1"/>
  <c r="T207" i="1" s="1"/>
  <c r="AA204" i="1"/>
  <c r="AA196" i="1"/>
  <c r="AA188" i="1"/>
  <c r="AA180" i="1"/>
  <c r="AA172" i="1"/>
  <c r="AA164" i="1"/>
  <c r="AA156" i="1"/>
  <c r="AA148" i="1"/>
  <c r="AA140" i="1"/>
  <c r="R136" i="1"/>
  <c r="AB135" i="1"/>
  <c r="H134" i="1"/>
  <c r="R132" i="1"/>
  <c r="AB131" i="1"/>
  <c r="H130" i="1"/>
  <c r="R128" i="1"/>
  <c r="AB127" i="1"/>
  <c r="H126" i="1"/>
  <c r="R124" i="1"/>
  <c r="AB123" i="1"/>
  <c r="H122" i="1"/>
  <c r="AB118" i="1"/>
  <c r="R115" i="1"/>
  <c r="AA68" i="1"/>
  <c r="R67" i="1"/>
  <c r="R60" i="1"/>
  <c r="H59" i="1"/>
  <c r="AB56" i="1"/>
  <c r="AB53" i="1"/>
  <c r="R53" i="1"/>
  <c r="R48" i="1"/>
  <c r="AB45" i="1"/>
  <c r="R45" i="1"/>
  <c r="R39" i="1"/>
  <c r="AB34" i="1"/>
  <c r="R34" i="1"/>
  <c r="R30" i="1"/>
  <c r="R25" i="1"/>
  <c r="R19" i="1"/>
  <c r="R13" i="1"/>
  <c r="H158" i="4" s="1"/>
  <c r="R9" i="1"/>
  <c r="H154" i="4" s="1"/>
  <c r="F192" i="4"/>
  <c r="D210" i="4" s="1"/>
  <c r="E149" i="4"/>
  <c r="H107" i="4"/>
  <c r="F60" i="4"/>
  <c r="D78" i="4" s="1"/>
  <c r="D78" i="5"/>
  <c r="G10" i="1"/>
  <c r="H67" i="5" s="1"/>
  <c r="G14" i="1"/>
  <c r="H71" i="5" s="1"/>
  <c r="G20" i="1"/>
  <c r="G32" i="1"/>
  <c r="G40" i="1"/>
  <c r="G18" i="1"/>
  <c r="G22" i="1"/>
  <c r="G45" i="1"/>
  <c r="G48" i="1"/>
  <c r="G49" i="1"/>
  <c r="G53" i="1"/>
  <c r="G56" i="1"/>
  <c r="G63" i="1"/>
  <c r="G64" i="1"/>
  <c r="G67" i="1"/>
  <c r="G71" i="1"/>
  <c r="G75" i="1"/>
  <c r="G121" i="1"/>
  <c r="I67" i="6"/>
  <c r="F119" i="5"/>
  <c r="D119" i="5" s="1"/>
  <c r="N9" i="1"/>
  <c r="N12" i="1"/>
  <c r="N13" i="1"/>
  <c r="N19" i="1"/>
  <c r="N30" i="1"/>
  <c r="N31" i="1"/>
  <c r="N38" i="1"/>
  <c r="N39" i="1"/>
  <c r="N43" i="1"/>
  <c r="N44" i="1"/>
  <c r="N47" i="1"/>
  <c r="N48" i="1"/>
  <c r="N51" i="1"/>
  <c r="N52" i="1"/>
  <c r="N55" i="1"/>
  <c r="N56" i="1"/>
  <c r="N60" i="1"/>
  <c r="N65" i="1"/>
  <c r="N67" i="1"/>
  <c r="N71" i="1"/>
  <c r="N75" i="1"/>
  <c r="N14" i="1"/>
  <c r="N15" i="1"/>
  <c r="N16" i="1"/>
  <c r="N17" i="1"/>
  <c r="N20" i="1"/>
  <c r="N21" i="1"/>
  <c r="N26" i="1"/>
  <c r="N34" i="1"/>
  <c r="N57" i="1"/>
  <c r="N59" i="1"/>
  <c r="N61" i="1"/>
  <c r="N66" i="1"/>
  <c r="N69" i="1"/>
  <c r="N70" i="1"/>
  <c r="N73" i="1"/>
  <c r="N74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21" i="1"/>
  <c r="AB202" i="1"/>
  <c r="H202" i="1"/>
  <c r="R201" i="1"/>
  <c r="AB200" i="1"/>
  <c r="H200" i="1"/>
  <c r="R199" i="1"/>
  <c r="AB198" i="1"/>
  <c r="H198" i="1"/>
  <c r="R197" i="1"/>
  <c r="AB196" i="1"/>
  <c r="H196" i="1"/>
  <c r="R195" i="1"/>
  <c r="AB194" i="1"/>
  <c r="H194" i="1"/>
  <c r="R193" i="1"/>
  <c r="AB192" i="1"/>
  <c r="H192" i="1"/>
  <c r="R191" i="1"/>
  <c r="AB190" i="1"/>
  <c r="H190" i="1"/>
  <c r="R189" i="1"/>
  <c r="AB188" i="1"/>
  <c r="H188" i="1"/>
  <c r="R187" i="1"/>
  <c r="AB186" i="1"/>
  <c r="H186" i="1"/>
  <c r="R185" i="1"/>
  <c r="AB184" i="1"/>
  <c r="H184" i="1"/>
  <c r="R183" i="1"/>
  <c r="AB182" i="1"/>
  <c r="H182" i="1"/>
  <c r="R181" i="1"/>
  <c r="AB180" i="1"/>
  <c r="H180" i="1"/>
  <c r="R179" i="1"/>
  <c r="AB178" i="1"/>
  <c r="H178" i="1"/>
  <c r="R177" i="1"/>
  <c r="AB176" i="1"/>
  <c r="H176" i="1"/>
  <c r="R175" i="1"/>
  <c r="AB174" i="1"/>
  <c r="H174" i="1"/>
  <c r="R173" i="1"/>
  <c r="AB172" i="1"/>
  <c r="H172" i="1"/>
  <c r="R171" i="1"/>
  <c r="AB170" i="1"/>
  <c r="H170" i="1"/>
  <c r="R169" i="1"/>
  <c r="AB168" i="1"/>
  <c r="H168" i="1"/>
  <c r="R167" i="1"/>
  <c r="AB166" i="1"/>
  <c r="H166" i="1"/>
  <c r="R165" i="1"/>
  <c r="AB164" i="1"/>
  <c r="H164" i="1"/>
  <c r="R163" i="1"/>
  <c r="AB162" i="1"/>
  <c r="H162" i="1"/>
  <c r="R161" i="1"/>
  <c r="AB160" i="1"/>
  <c r="H160" i="1"/>
  <c r="R159" i="1"/>
  <c r="AB158" i="1"/>
  <c r="H158" i="1"/>
  <c r="R157" i="1"/>
  <c r="AB156" i="1"/>
  <c r="H156" i="1"/>
  <c r="R155" i="1"/>
  <c r="AB154" i="1"/>
  <c r="H154" i="1"/>
  <c r="R153" i="1"/>
  <c r="AB152" i="1"/>
  <c r="H152" i="1"/>
  <c r="R151" i="1"/>
  <c r="AB150" i="1"/>
  <c r="H150" i="1"/>
  <c r="R149" i="1"/>
  <c r="AB148" i="1"/>
  <c r="H148" i="1"/>
  <c r="R147" i="1"/>
  <c r="AB146" i="1"/>
  <c r="H146" i="1"/>
  <c r="R145" i="1"/>
  <c r="AB144" i="1"/>
  <c r="H144" i="1"/>
  <c r="R143" i="1"/>
  <c r="AB142" i="1"/>
  <c r="H142" i="1"/>
  <c r="R141" i="1"/>
  <c r="AB140" i="1"/>
  <c r="H140" i="1"/>
  <c r="R139" i="1"/>
  <c r="AB138" i="1"/>
  <c r="H138" i="1"/>
  <c r="R137" i="1"/>
  <c r="AB136" i="1"/>
  <c r="H135" i="1"/>
  <c r="R133" i="1"/>
  <c r="AB132" i="1"/>
  <c r="H131" i="1"/>
  <c r="R129" i="1"/>
  <c r="AB128" i="1"/>
  <c r="H127" i="1"/>
  <c r="R125" i="1"/>
  <c r="AB124" i="1"/>
  <c r="H123" i="1"/>
  <c r="H121" i="1"/>
  <c r="AB120" i="1"/>
  <c r="R120" i="1"/>
  <c r="R116" i="1"/>
  <c r="R71" i="1"/>
  <c r="AA65" i="1"/>
  <c r="R56" i="1"/>
  <c r="H56" i="1"/>
  <c r="R50" i="1"/>
  <c r="H48" i="1"/>
  <c r="R42" i="1"/>
  <c r="AA40" i="1"/>
  <c r="R38" i="1"/>
  <c r="R33" i="1"/>
  <c r="R29" i="1"/>
  <c r="AB20" i="1"/>
  <c r="R15" i="1"/>
  <c r="H160" i="4" s="1"/>
  <c r="AB14" i="1"/>
  <c r="H247" i="4" s="1"/>
  <c r="AB8" i="1"/>
  <c r="E61" i="4"/>
  <c r="F16" i="4"/>
  <c r="D34" i="4" s="1"/>
  <c r="O68" i="6"/>
  <c r="Q5" i="1"/>
  <c r="Q15" i="1" s="1"/>
  <c r="H160" i="5" s="1"/>
  <c r="D246" i="5"/>
  <c r="F207" i="5"/>
  <c r="D207" i="5" s="1"/>
  <c r="H195" i="5"/>
  <c r="D161" i="5"/>
  <c r="D158" i="5"/>
  <c r="E150" i="5"/>
  <c r="D70" i="5"/>
  <c r="H19" i="5"/>
  <c r="D246" i="4"/>
  <c r="D243" i="4"/>
  <c r="D74" i="4"/>
  <c r="D71" i="4"/>
  <c r="G8" i="1"/>
  <c r="D245" i="5"/>
  <c r="D242" i="5"/>
  <c r="D157" i="5"/>
  <c r="D154" i="5"/>
  <c r="D69" i="5"/>
  <c r="D66" i="5"/>
  <c r="D242" i="4"/>
  <c r="D162" i="4"/>
  <c r="D159" i="4"/>
  <c r="F104" i="4"/>
  <c r="D122" i="4" s="1"/>
  <c r="M67" i="6"/>
  <c r="E193" i="4"/>
  <c r="M68" i="6"/>
  <c r="H9" i="1"/>
  <c r="H66" i="4" s="1"/>
  <c r="H11" i="1"/>
  <c r="H68" i="4" s="1"/>
  <c r="H13" i="1"/>
  <c r="H70" i="4" s="1"/>
  <c r="H15" i="1"/>
  <c r="H72" i="4" s="1"/>
  <c r="H17" i="1"/>
  <c r="H74" i="4" s="1"/>
  <c r="H19" i="1"/>
  <c r="H21" i="1"/>
  <c r="H23" i="1"/>
  <c r="H25" i="1"/>
  <c r="H27" i="1"/>
  <c r="H29" i="1"/>
  <c r="H31" i="1"/>
  <c r="H33" i="1"/>
  <c r="H35" i="1"/>
  <c r="H37" i="1"/>
  <c r="H39" i="1"/>
  <c r="H41" i="1"/>
  <c r="H42" i="1"/>
  <c r="H46" i="1"/>
  <c r="H50" i="1"/>
  <c r="H54" i="1"/>
  <c r="H45" i="1"/>
  <c r="H49" i="1"/>
  <c r="H53" i="1"/>
  <c r="H57" i="1"/>
  <c r="H61" i="1"/>
  <c r="H65" i="1"/>
  <c r="H67" i="1"/>
  <c r="H68" i="1"/>
  <c r="H69" i="1"/>
  <c r="H70" i="1"/>
  <c r="H71" i="1"/>
  <c r="H72" i="1"/>
  <c r="H73" i="1"/>
  <c r="H74" i="1"/>
  <c r="H75" i="1"/>
  <c r="H76" i="1"/>
  <c r="H77" i="1"/>
  <c r="H12" i="1"/>
  <c r="H69" i="4" s="1"/>
  <c r="H20" i="1"/>
  <c r="H28" i="1"/>
  <c r="H36" i="1"/>
  <c r="H60" i="1"/>
  <c r="H62" i="1"/>
  <c r="H63" i="1"/>
  <c r="H14" i="1"/>
  <c r="H71" i="4" s="1"/>
  <c r="H22" i="1"/>
  <c r="H30" i="1"/>
  <c r="H38" i="1"/>
  <c r="H43" i="1"/>
  <c r="H44" i="1"/>
  <c r="H51" i="1"/>
  <c r="H52" i="1"/>
  <c r="H64" i="1"/>
  <c r="H66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O67" i="6"/>
  <c r="H239" i="5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F251" i="5"/>
  <c r="D251" i="5" s="1"/>
  <c r="F233" i="5"/>
  <c r="E239" i="5" s="1"/>
  <c r="D258" i="5"/>
  <c r="AC68" i="1"/>
  <c r="AC72" i="1"/>
  <c r="AC76" i="1"/>
  <c r="AC67" i="1"/>
  <c r="AC71" i="1"/>
  <c r="AC75" i="1"/>
  <c r="AA9" i="1"/>
  <c r="H242" i="5" s="1"/>
  <c r="AA53" i="1"/>
  <c r="AA56" i="1"/>
  <c r="AA20" i="1"/>
  <c r="AA55" i="1"/>
  <c r="AA75" i="1"/>
  <c r="AA81" i="1"/>
  <c r="AA85" i="1"/>
  <c r="AA89" i="1"/>
  <c r="AA93" i="1"/>
  <c r="AA97" i="1"/>
  <c r="AA101" i="1"/>
  <c r="AA105" i="1"/>
  <c r="AA109" i="1"/>
  <c r="AA113" i="1"/>
  <c r="AA117" i="1"/>
  <c r="AA121" i="1"/>
  <c r="AA125" i="1"/>
  <c r="AA129" i="1"/>
  <c r="AA133" i="1"/>
  <c r="AA14" i="1"/>
  <c r="H247" i="5" s="1"/>
  <c r="AA46" i="1"/>
  <c r="AA66" i="1"/>
  <c r="X6" i="1"/>
  <c r="Y6" i="1"/>
  <c r="V6" i="1"/>
  <c r="N6" i="1"/>
  <c r="O6" i="1"/>
  <c r="D6" i="1"/>
  <c r="E6" i="1"/>
  <c r="B6" i="1"/>
  <c r="AB9" i="1"/>
  <c r="H242" i="4" s="1"/>
  <c r="AB11" i="1"/>
  <c r="H244" i="4" s="1"/>
  <c r="AB13" i="1"/>
  <c r="H246" i="4" s="1"/>
  <c r="AB15" i="1"/>
  <c r="H248" i="4" s="1"/>
  <c r="AB17" i="1"/>
  <c r="H250" i="4" s="1"/>
  <c r="AB19" i="1"/>
  <c r="AB21" i="1"/>
  <c r="AB23" i="1"/>
  <c r="AB25" i="1"/>
  <c r="AB27" i="1"/>
  <c r="AB29" i="1"/>
  <c r="AB31" i="1"/>
  <c r="AB33" i="1"/>
  <c r="AB35" i="1"/>
  <c r="AB37" i="1"/>
  <c r="AB39" i="1"/>
  <c r="AB44" i="1"/>
  <c r="AB48" i="1"/>
  <c r="AB52" i="1"/>
  <c r="AB43" i="1"/>
  <c r="AB47" i="1"/>
  <c r="AB51" i="1"/>
  <c r="AB55" i="1"/>
  <c r="AB59" i="1"/>
  <c r="AB63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G24" i="1"/>
  <c r="Q23" i="1"/>
  <c r="G16" i="1"/>
  <c r="H73" i="5" s="1"/>
  <c r="G43" i="1"/>
  <c r="G47" i="1"/>
  <c r="G51" i="1"/>
  <c r="G55" i="1"/>
  <c r="G9" i="1"/>
  <c r="H66" i="5" s="1"/>
  <c r="G11" i="1"/>
  <c r="H68" i="5" s="1"/>
  <c r="G13" i="1"/>
  <c r="H70" i="5" s="1"/>
  <c r="G15" i="1"/>
  <c r="H72" i="5" s="1"/>
  <c r="G17" i="1"/>
  <c r="H74" i="5" s="1"/>
  <c r="G19" i="1"/>
  <c r="G21" i="1"/>
  <c r="G23" i="1"/>
  <c r="G25" i="1"/>
  <c r="G27" i="1"/>
  <c r="G29" i="1"/>
  <c r="G31" i="1"/>
  <c r="G33" i="1"/>
  <c r="G35" i="1"/>
  <c r="G37" i="1"/>
  <c r="G39" i="1"/>
  <c r="G41" i="1"/>
  <c r="G42" i="1"/>
  <c r="G46" i="1"/>
  <c r="G50" i="1"/>
  <c r="G54" i="1"/>
  <c r="G58" i="1"/>
  <c r="G62" i="1"/>
  <c r="G66" i="1"/>
  <c r="Q44" i="1"/>
  <c r="Q48" i="1"/>
  <c r="Q52" i="1"/>
  <c r="Q47" i="1"/>
  <c r="Q51" i="1"/>
  <c r="Q55" i="1"/>
  <c r="Q59" i="1"/>
  <c r="Q63" i="1"/>
  <c r="G67" i="6"/>
  <c r="H63" i="5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F75" i="5"/>
  <c r="D75" i="5" s="1"/>
  <c r="F57" i="5"/>
  <c r="E63" i="5" s="1"/>
  <c r="E17" i="4"/>
  <c r="E68" i="6"/>
  <c r="D126" i="4"/>
  <c r="D244" i="4"/>
  <c r="D248" i="4"/>
  <c r="D243" i="5"/>
  <c r="D247" i="5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D156" i="4"/>
  <c r="D160" i="4"/>
  <c r="D155" i="5"/>
  <c r="D159" i="5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D68" i="4"/>
  <c r="D72" i="4"/>
  <c r="D67" i="5"/>
  <c r="D71" i="5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Q43" i="1"/>
  <c r="Q40" i="1"/>
  <c r="Q38" i="1"/>
  <c r="Q36" i="1"/>
  <c r="Q34" i="1"/>
  <c r="Q32" i="1"/>
  <c r="Q30" i="1"/>
  <c r="Q28" i="1"/>
  <c r="Q26" i="1"/>
  <c r="Q24" i="1"/>
  <c r="Q22" i="1"/>
  <c r="Q20" i="1"/>
  <c r="Q18" i="1"/>
  <c r="Q16" i="1"/>
  <c r="H161" i="5" s="1"/>
  <c r="Q14" i="1"/>
  <c r="H159" i="5" s="1"/>
  <c r="Q12" i="1"/>
  <c r="H157" i="5" s="1"/>
  <c r="Q10" i="1"/>
  <c r="H155" i="5" s="1"/>
  <c r="I68" i="6"/>
  <c r="X5" i="1"/>
  <c r="Y5" i="1"/>
  <c r="N5" i="1"/>
  <c r="O5" i="1"/>
  <c r="D5" i="1"/>
  <c r="E5" i="1"/>
  <c r="H151" i="5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F163" i="5"/>
  <c r="D163" i="5" s="1"/>
  <c r="K67" i="6"/>
  <c r="D214" i="5"/>
  <c r="D126" i="5"/>
  <c r="F101" i="5"/>
  <c r="E107" i="5" s="1"/>
  <c r="D38" i="5"/>
  <c r="L8" i="1" l="1"/>
  <c r="M40" i="1"/>
  <c r="L87" i="1"/>
  <c r="AB22" i="1"/>
  <c r="AB64" i="1"/>
  <c r="AB126" i="1"/>
  <c r="AB181" i="1"/>
  <c r="AB199" i="1"/>
  <c r="AB201" i="1"/>
  <c r="AB204" i="1"/>
  <c r="AB177" i="1"/>
  <c r="AB193" i="1"/>
  <c r="AB203" i="1"/>
  <c r="AB42" i="1"/>
  <c r="AB46" i="1"/>
  <c r="AB49" i="1"/>
  <c r="AB58" i="1"/>
  <c r="AB129" i="1"/>
  <c r="AB145" i="1"/>
  <c r="AB207" i="1"/>
  <c r="AD207" i="1" s="1"/>
  <c r="AB16" i="1"/>
  <c r="H249" i="4" s="1"/>
  <c r="AB134" i="1"/>
  <c r="AB141" i="1"/>
  <c r="AB157" i="1"/>
  <c r="AB173" i="1"/>
  <c r="AB121" i="1"/>
  <c r="AB137" i="1"/>
  <c r="AB153" i="1"/>
  <c r="AB169" i="1"/>
  <c r="AB185" i="1"/>
  <c r="AB205" i="1"/>
  <c r="AB206" i="1"/>
  <c r="AB149" i="1"/>
  <c r="AB165" i="1"/>
  <c r="AB197" i="1"/>
  <c r="AB161" i="1"/>
  <c r="AB189" i="1"/>
  <c r="R196" i="1"/>
  <c r="R190" i="1"/>
  <c r="R205" i="1"/>
  <c r="R176" i="1"/>
  <c r="R144" i="1"/>
  <c r="R65" i="1"/>
  <c r="R26" i="1"/>
  <c r="R164" i="1"/>
  <c r="R127" i="1"/>
  <c r="R49" i="1"/>
  <c r="R14" i="1"/>
  <c r="H159" i="4" s="1"/>
  <c r="R184" i="1"/>
  <c r="R122" i="1"/>
  <c r="R41" i="1"/>
  <c r="R158" i="1"/>
  <c r="R126" i="1"/>
  <c r="R47" i="1"/>
  <c r="L135" i="1"/>
  <c r="L37" i="1"/>
  <c r="R206" i="1"/>
  <c r="R168" i="1"/>
  <c r="R188" i="1"/>
  <c r="R194" i="1"/>
  <c r="R162" i="1"/>
  <c r="R130" i="1"/>
  <c r="R59" i="1"/>
  <c r="R182" i="1"/>
  <c r="R150" i="1"/>
  <c r="R119" i="1"/>
  <c r="R46" i="1"/>
  <c r="R11" i="1"/>
  <c r="H156" i="4" s="1"/>
  <c r="R170" i="1"/>
  <c r="R117" i="1"/>
  <c r="R204" i="1"/>
  <c r="R142" i="1"/>
  <c r="R121" i="1"/>
  <c r="R44" i="1"/>
  <c r="L119" i="1"/>
  <c r="L28" i="1"/>
  <c r="H133" i="1"/>
  <c r="H147" i="1"/>
  <c r="H149" i="1"/>
  <c r="H163" i="1"/>
  <c r="H179" i="1"/>
  <c r="H181" i="1"/>
  <c r="H195" i="1"/>
  <c r="H159" i="1"/>
  <c r="H177" i="1"/>
  <c r="H193" i="1"/>
  <c r="H206" i="1"/>
  <c r="H47" i="1"/>
  <c r="H55" i="1"/>
  <c r="H124" i="1"/>
  <c r="H129" i="1"/>
  <c r="H136" i="1"/>
  <c r="H143" i="1"/>
  <c r="H145" i="1"/>
  <c r="H187" i="1"/>
  <c r="H205" i="1"/>
  <c r="H18" i="1"/>
  <c r="H118" i="1"/>
  <c r="H119" i="1"/>
  <c r="H125" i="1"/>
  <c r="H139" i="1"/>
  <c r="H141" i="1"/>
  <c r="H155" i="1"/>
  <c r="H157" i="1"/>
  <c r="H171" i="1"/>
  <c r="H173" i="1"/>
  <c r="H8" i="1"/>
  <c r="H128" i="1"/>
  <c r="H132" i="1"/>
  <c r="H137" i="1"/>
  <c r="H151" i="1"/>
  <c r="H153" i="1"/>
  <c r="H167" i="1"/>
  <c r="H169" i="1"/>
  <c r="H183" i="1"/>
  <c r="H185" i="1"/>
  <c r="H199" i="1"/>
  <c r="H203" i="1"/>
  <c r="H204" i="1"/>
  <c r="H207" i="1"/>
  <c r="J207" i="1" s="1"/>
  <c r="H165" i="1"/>
  <c r="H197" i="1"/>
  <c r="H201" i="1"/>
  <c r="H161" i="1"/>
  <c r="H175" i="1"/>
  <c r="H191" i="1"/>
  <c r="H189" i="1"/>
  <c r="R200" i="1"/>
  <c r="R154" i="1"/>
  <c r="R172" i="1"/>
  <c r="R192" i="1"/>
  <c r="R160" i="1"/>
  <c r="R123" i="1"/>
  <c r="R51" i="1"/>
  <c r="R180" i="1"/>
  <c r="R148" i="1"/>
  <c r="R113" i="1"/>
  <c r="R43" i="1"/>
  <c r="R202" i="1"/>
  <c r="R138" i="1"/>
  <c r="R114" i="1"/>
  <c r="R203" i="1"/>
  <c r="R140" i="1"/>
  <c r="R55" i="1"/>
  <c r="R31" i="1"/>
  <c r="L103" i="1"/>
  <c r="R12" i="1"/>
  <c r="H157" i="4" s="1"/>
  <c r="R198" i="1"/>
  <c r="R152" i="1"/>
  <c r="R156" i="1"/>
  <c r="R178" i="1"/>
  <c r="R146" i="1"/>
  <c r="R75" i="1"/>
  <c r="R37" i="1"/>
  <c r="R166" i="1"/>
  <c r="R134" i="1"/>
  <c r="R54" i="1"/>
  <c r="R20" i="1"/>
  <c r="R186" i="1"/>
  <c r="R131" i="1"/>
  <c r="R64" i="1"/>
  <c r="R174" i="1"/>
  <c r="R135" i="1"/>
  <c r="R52" i="1"/>
  <c r="B29" i="1"/>
  <c r="AA203" i="1"/>
  <c r="AA207" i="1"/>
  <c r="AC207" i="1" s="1"/>
  <c r="AA51" i="1"/>
  <c r="AA137" i="1"/>
  <c r="AA141" i="1"/>
  <c r="AA145" i="1"/>
  <c r="AA149" i="1"/>
  <c r="AA153" i="1"/>
  <c r="AA157" i="1"/>
  <c r="AA161" i="1"/>
  <c r="AA169" i="1"/>
  <c r="AA173" i="1"/>
  <c r="AA177" i="1"/>
  <c r="AA185" i="1"/>
  <c r="AA193" i="1"/>
  <c r="AA197" i="1"/>
  <c r="AA201" i="1"/>
  <c r="AA34" i="1"/>
  <c r="AA24" i="1"/>
  <c r="AA165" i="1"/>
  <c r="AA181" i="1"/>
  <c r="AA189" i="1"/>
  <c r="AA205" i="1"/>
  <c r="AA43" i="1"/>
  <c r="V25" i="1"/>
  <c r="AA15" i="1"/>
  <c r="H248" i="5" s="1"/>
  <c r="AA19" i="1"/>
  <c r="AA27" i="1"/>
  <c r="AA35" i="1"/>
  <c r="AA70" i="1"/>
  <c r="AA134" i="1"/>
  <c r="AA126" i="1"/>
  <c r="AA118" i="1"/>
  <c r="AA110" i="1"/>
  <c r="AA102" i="1"/>
  <c r="AA94" i="1"/>
  <c r="AA86" i="1"/>
  <c r="AA82" i="1"/>
  <c r="AA62" i="1"/>
  <c r="AA28" i="1"/>
  <c r="AA44" i="1"/>
  <c r="AA41" i="1"/>
  <c r="AA32" i="1"/>
  <c r="AA146" i="1"/>
  <c r="AA162" i="1"/>
  <c r="AA178" i="1"/>
  <c r="AA194" i="1"/>
  <c r="AA69" i="1"/>
  <c r="AA163" i="1"/>
  <c r="AA179" i="1"/>
  <c r="AA195" i="1"/>
  <c r="AA74" i="1"/>
  <c r="AA57" i="1"/>
  <c r="AA30" i="1"/>
  <c r="AA135" i="1"/>
  <c r="AA131" i="1"/>
  <c r="AA127" i="1"/>
  <c r="AA123" i="1"/>
  <c r="AA119" i="1"/>
  <c r="AA115" i="1"/>
  <c r="AA111" i="1"/>
  <c r="AA107" i="1"/>
  <c r="AA103" i="1"/>
  <c r="AA99" i="1"/>
  <c r="AA95" i="1"/>
  <c r="AA91" i="1"/>
  <c r="AA87" i="1"/>
  <c r="AA83" i="1"/>
  <c r="AA79" i="1"/>
  <c r="AA67" i="1"/>
  <c r="AA36" i="1"/>
  <c r="AA64" i="1"/>
  <c r="AA48" i="1"/>
  <c r="AA45" i="1"/>
  <c r="AA42" i="1"/>
  <c r="AA72" i="1"/>
  <c r="AA144" i="1"/>
  <c r="AA152" i="1"/>
  <c r="AA160" i="1"/>
  <c r="AA168" i="1"/>
  <c r="AA176" i="1"/>
  <c r="AA184" i="1"/>
  <c r="AA192" i="1"/>
  <c r="AA200" i="1"/>
  <c r="AA73" i="1"/>
  <c r="AA61" i="1"/>
  <c r="AA151" i="1"/>
  <c r="AA167" i="1"/>
  <c r="AA183" i="1"/>
  <c r="AA199" i="1"/>
  <c r="AA143" i="1"/>
  <c r="AA159" i="1"/>
  <c r="AA175" i="1"/>
  <c r="AA191" i="1"/>
  <c r="AA26" i="1"/>
  <c r="AA11" i="1"/>
  <c r="H244" i="5" s="1"/>
  <c r="AA23" i="1"/>
  <c r="AA31" i="1"/>
  <c r="AA39" i="1"/>
  <c r="AA54" i="1"/>
  <c r="AA22" i="1"/>
  <c r="AA130" i="1"/>
  <c r="AA122" i="1"/>
  <c r="AA114" i="1"/>
  <c r="AA106" i="1"/>
  <c r="AA98" i="1"/>
  <c r="AA90" i="1"/>
  <c r="AA78" i="1"/>
  <c r="AA60" i="1"/>
  <c r="AA138" i="1"/>
  <c r="AA154" i="1"/>
  <c r="AA170" i="1"/>
  <c r="AA186" i="1"/>
  <c r="AA202" i="1"/>
  <c r="AA18" i="1"/>
  <c r="AA147" i="1"/>
  <c r="AA13" i="1"/>
  <c r="H246" i="5" s="1"/>
  <c r="AA17" i="1"/>
  <c r="H250" i="5" s="1"/>
  <c r="AA21" i="1"/>
  <c r="AA25" i="1"/>
  <c r="AA29" i="1"/>
  <c r="AA33" i="1"/>
  <c r="AA37" i="1"/>
  <c r="AA59" i="1"/>
  <c r="AA38" i="1"/>
  <c r="AA136" i="1"/>
  <c r="AA132" i="1"/>
  <c r="AA128" i="1"/>
  <c r="AA124" i="1"/>
  <c r="AA120" i="1"/>
  <c r="AA116" i="1"/>
  <c r="AA112" i="1"/>
  <c r="AA108" i="1"/>
  <c r="AA104" i="1"/>
  <c r="AA100" i="1"/>
  <c r="AA96" i="1"/>
  <c r="AA92" i="1"/>
  <c r="AA88" i="1"/>
  <c r="AA84" i="1"/>
  <c r="AA80" i="1"/>
  <c r="AA71" i="1"/>
  <c r="AA47" i="1"/>
  <c r="AA12" i="1"/>
  <c r="H245" i="5" s="1"/>
  <c r="AA52" i="1"/>
  <c r="AA49" i="1"/>
  <c r="AA10" i="1"/>
  <c r="H243" i="5" s="1"/>
  <c r="AA50" i="1"/>
  <c r="AA16" i="1"/>
  <c r="H249" i="5" s="1"/>
  <c r="AA142" i="1"/>
  <c r="AA150" i="1"/>
  <c r="AA158" i="1"/>
  <c r="AA166" i="1"/>
  <c r="AA174" i="1"/>
  <c r="AA182" i="1"/>
  <c r="AA190" i="1"/>
  <c r="AA198" i="1"/>
  <c r="AA206" i="1"/>
  <c r="AA77" i="1"/>
  <c r="AA58" i="1"/>
  <c r="AA76" i="1"/>
  <c r="AA139" i="1"/>
  <c r="AA155" i="1"/>
  <c r="AA171" i="1"/>
  <c r="AA187" i="1"/>
  <c r="Q27" i="1"/>
  <c r="Q35" i="1"/>
  <c r="Q58" i="1"/>
  <c r="Q62" i="1"/>
  <c r="Q68" i="1"/>
  <c r="Q72" i="1"/>
  <c r="Q76" i="1"/>
  <c r="Q11" i="1"/>
  <c r="H156" i="5" s="1"/>
  <c r="Q25" i="1"/>
  <c r="Q29" i="1"/>
  <c r="Q33" i="1"/>
  <c r="Q37" i="1"/>
  <c r="Q41" i="1"/>
  <c r="Q42" i="1"/>
  <c r="Q45" i="1"/>
  <c r="Q46" i="1"/>
  <c r="Q49" i="1"/>
  <c r="Q50" i="1"/>
  <c r="Q53" i="1"/>
  <c r="Q54" i="1"/>
  <c r="Q64" i="1"/>
  <c r="Q119" i="1"/>
  <c r="Q21" i="1"/>
  <c r="Q57" i="1"/>
  <c r="Q65" i="1"/>
  <c r="Q66" i="1"/>
  <c r="Q75" i="1"/>
  <c r="Q77" i="1"/>
  <c r="Q81" i="1"/>
  <c r="Q85" i="1"/>
  <c r="Q89" i="1"/>
  <c r="Q93" i="1"/>
  <c r="Q97" i="1"/>
  <c r="Q101" i="1"/>
  <c r="Q105" i="1"/>
  <c r="Q109" i="1"/>
  <c r="Q113" i="1"/>
  <c r="Q117" i="1"/>
  <c r="Q121" i="1"/>
  <c r="Q122" i="1"/>
  <c r="Q126" i="1"/>
  <c r="Q130" i="1"/>
  <c r="Q134" i="1"/>
  <c r="Q39" i="1"/>
  <c r="Q60" i="1"/>
  <c r="Q69" i="1"/>
  <c r="Q83" i="1"/>
  <c r="Q87" i="1"/>
  <c r="Q95" i="1"/>
  <c r="Q99" i="1"/>
  <c r="Q124" i="1"/>
  <c r="Q128" i="1"/>
  <c r="Q132" i="1"/>
  <c r="Q207" i="1"/>
  <c r="S207" i="1" s="1"/>
  <c r="Q17" i="1"/>
  <c r="H162" i="5" s="1"/>
  <c r="Q70" i="1"/>
  <c r="Q80" i="1"/>
  <c r="Q88" i="1"/>
  <c r="Q92" i="1"/>
  <c r="Q100" i="1"/>
  <c r="Q108" i="1"/>
  <c r="Q112" i="1"/>
  <c r="Q114" i="1"/>
  <c r="Q138" i="1"/>
  <c r="Q140" i="1"/>
  <c r="Q144" i="1"/>
  <c r="Q148" i="1"/>
  <c r="Q152" i="1"/>
  <c r="Q154" i="1"/>
  <c r="Q158" i="1"/>
  <c r="Q162" i="1"/>
  <c r="Q164" i="1"/>
  <c r="Q166" i="1"/>
  <c r="Q168" i="1"/>
  <c r="Q170" i="1"/>
  <c r="Q172" i="1"/>
  <c r="Q178" i="1"/>
  <c r="Q180" i="1"/>
  <c r="Q184" i="1"/>
  <c r="Q188" i="1"/>
  <c r="Q194" i="1"/>
  <c r="Q198" i="1"/>
  <c r="Q200" i="1"/>
  <c r="Q204" i="1"/>
  <c r="Q56" i="1"/>
  <c r="Q61" i="1"/>
  <c r="Q71" i="1"/>
  <c r="Q73" i="1"/>
  <c r="Q78" i="1"/>
  <c r="Q82" i="1"/>
  <c r="Q86" i="1"/>
  <c r="Q90" i="1"/>
  <c r="Q94" i="1"/>
  <c r="Q98" i="1"/>
  <c r="Q102" i="1"/>
  <c r="Q106" i="1"/>
  <c r="Q110" i="1"/>
  <c r="Q116" i="1"/>
  <c r="Q120" i="1"/>
  <c r="Q125" i="1"/>
  <c r="Q129" i="1"/>
  <c r="Q133" i="1"/>
  <c r="Q137" i="1"/>
  <c r="Q139" i="1"/>
  <c r="Q141" i="1"/>
  <c r="Q143" i="1"/>
  <c r="Q145" i="1"/>
  <c r="Q147" i="1"/>
  <c r="Q149" i="1"/>
  <c r="Q151" i="1"/>
  <c r="Q153" i="1"/>
  <c r="Q155" i="1"/>
  <c r="Q157" i="1"/>
  <c r="Q159" i="1"/>
  <c r="Q161" i="1"/>
  <c r="Q163" i="1"/>
  <c r="Q165" i="1"/>
  <c r="Q167" i="1"/>
  <c r="Q169" i="1"/>
  <c r="Q171" i="1"/>
  <c r="Q173" i="1"/>
  <c r="Q175" i="1"/>
  <c r="Q177" i="1"/>
  <c r="Q179" i="1"/>
  <c r="Q181" i="1"/>
  <c r="Q183" i="1"/>
  <c r="Q185" i="1"/>
  <c r="Q187" i="1"/>
  <c r="Q189" i="1"/>
  <c r="Q191" i="1"/>
  <c r="Q193" i="1"/>
  <c r="Q195" i="1"/>
  <c r="Q197" i="1"/>
  <c r="Q199" i="1"/>
  <c r="Q201" i="1"/>
  <c r="Q203" i="1"/>
  <c r="Q205" i="1"/>
  <c r="Q9" i="1"/>
  <c r="H154" i="5" s="1"/>
  <c r="Q13" i="1"/>
  <c r="H158" i="5" s="1"/>
  <c r="Q19" i="1"/>
  <c r="Q67" i="1"/>
  <c r="Q74" i="1"/>
  <c r="Q79" i="1"/>
  <c r="Q91" i="1"/>
  <c r="Q103" i="1"/>
  <c r="Q107" i="1"/>
  <c r="Q111" i="1"/>
  <c r="Q115" i="1"/>
  <c r="Q118" i="1"/>
  <c r="Q136" i="1"/>
  <c r="Q31" i="1"/>
  <c r="Q84" i="1"/>
  <c r="Q96" i="1"/>
  <c r="Q104" i="1"/>
  <c r="Q123" i="1"/>
  <c r="Q127" i="1"/>
  <c r="Q131" i="1"/>
  <c r="Q135" i="1"/>
  <c r="Q142" i="1"/>
  <c r="Q146" i="1"/>
  <c r="Q150" i="1"/>
  <c r="Q156" i="1"/>
  <c r="Q160" i="1"/>
  <c r="Q174" i="1"/>
  <c r="Q176" i="1"/>
  <c r="Q182" i="1"/>
  <c r="Q186" i="1"/>
  <c r="Q190" i="1"/>
  <c r="Q192" i="1"/>
  <c r="Q196" i="1"/>
  <c r="Q202" i="1"/>
  <c r="Q206" i="1"/>
  <c r="M195" i="1"/>
  <c r="M163" i="1"/>
  <c r="M131" i="1"/>
  <c r="M57" i="1"/>
  <c r="M100" i="1"/>
  <c r="M64" i="1"/>
  <c r="M32" i="1"/>
  <c r="L23" i="1"/>
  <c r="L107" i="1"/>
  <c r="L69" i="1"/>
  <c r="M199" i="1"/>
  <c r="M167" i="1"/>
  <c r="M135" i="1"/>
  <c r="M60" i="1"/>
  <c r="M88" i="1"/>
  <c r="M71" i="1"/>
  <c r="M8" i="1"/>
  <c r="B42" i="1"/>
  <c r="V14" i="1"/>
  <c r="H203" i="5" s="1"/>
  <c r="M14" i="1"/>
  <c r="H115" i="4" s="1"/>
  <c r="L72" i="1"/>
  <c r="L131" i="1"/>
  <c r="L115" i="1"/>
  <c r="L99" i="1"/>
  <c r="L83" i="1"/>
  <c r="L63" i="1"/>
  <c r="L20" i="1"/>
  <c r="L17" i="1"/>
  <c r="H118" i="5" s="1"/>
  <c r="M191" i="1"/>
  <c r="M175" i="1"/>
  <c r="M159" i="1"/>
  <c r="M143" i="1"/>
  <c r="M127" i="1"/>
  <c r="M31" i="1"/>
  <c r="M112" i="1"/>
  <c r="M96" i="1"/>
  <c r="M80" i="1"/>
  <c r="M19" i="1"/>
  <c r="M54" i="1"/>
  <c r="M24" i="1"/>
  <c r="M179" i="1"/>
  <c r="M147" i="1"/>
  <c r="M116" i="1"/>
  <c r="M84" i="1"/>
  <c r="M67" i="1"/>
  <c r="L123" i="1"/>
  <c r="L91" i="1"/>
  <c r="L36" i="1"/>
  <c r="L48" i="1"/>
  <c r="M183" i="1"/>
  <c r="M151" i="1"/>
  <c r="M119" i="1"/>
  <c r="M104" i="1"/>
  <c r="M37" i="1"/>
  <c r="L50" i="1"/>
  <c r="L127" i="1"/>
  <c r="L111" i="1"/>
  <c r="L95" i="1"/>
  <c r="L79" i="1"/>
  <c r="L47" i="1"/>
  <c r="L12" i="1"/>
  <c r="H113" i="5" s="1"/>
  <c r="M15" i="1"/>
  <c r="H116" i="4" s="1"/>
  <c r="M187" i="1"/>
  <c r="M171" i="1"/>
  <c r="M155" i="1"/>
  <c r="M139" i="1"/>
  <c r="M123" i="1"/>
  <c r="M203" i="1"/>
  <c r="M108" i="1"/>
  <c r="M92" i="1"/>
  <c r="M59" i="1"/>
  <c r="M75" i="1"/>
  <c r="M55" i="1"/>
  <c r="M16" i="1"/>
  <c r="H117" i="4" s="1"/>
  <c r="Q8" i="1"/>
  <c r="B11" i="1"/>
  <c r="H24" i="5" s="1"/>
  <c r="B27" i="1"/>
  <c r="B35" i="1"/>
  <c r="V56" i="1"/>
  <c r="V31" i="1"/>
  <c r="V15" i="1"/>
  <c r="H204" i="5" s="1"/>
  <c r="B21" i="1"/>
  <c r="B37" i="1"/>
  <c r="V60" i="1"/>
  <c r="V33" i="1"/>
  <c r="V17" i="1"/>
  <c r="H206" i="5" s="1"/>
  <c r="V9" i="1"/>
  <c r="H198" i="5" s="1"/>
  <c r="V41" i="1"/>
  <c r="L56" i="1"/>
  <c r="L136" i="1"/>
  <c r="L128" i="1"/>
  <c r="L120" i="1"/>
  <c r="L112" i="1"/>
  <c r="L104" i="1"/>
  <c r="L96" i="1"/>
  <c r="L88" i="1"/>
  <c r="L80" i="1"/>
  <c r="L45" i="1"/>
  <c r="L51" i="1"/>
  <c r="L30" i="1"/>
  <c r="L52" i="1"/>
  <c r="M205" i="1"/>
  <c r="M196" i="1"/>
  <c r="M188" i="1"/>
  <c r="M180" i="1"/>
  <c r="M172" i="1"/>
  <c r="M164" i="1"/>
  <c r="M156" i="1"/>
  <c r="M148" i="1"/>
  <c r="M140" i="1"/>
  <c r="M132" i="1"/>
  <c r="M124" i="1"/>
  <c r="M44" i="1"/>
  <c r="M204" i="1"/>
  <c r="M117" i="1"/>
  <c r="M109" i="1"/>
  <c r="M101" i="1"/>
  <c r="M93" i="1"/>
  <c r="M85" i="1"/>
  <c r="M81" i="1"/>
  <c r="M45" i="1"/>
  <c r="M13" i="1"/>
  <c r="H114" i="4" s="1"/>
  <c r="M27" i="1"/>
  <c r="M76" i="1"/>
  <c r="M72" i="1"/>
  <c r="M68" i="1"/>
  <c r="M58" i="1"/>
  <c r="M42" i="1"/>
  <c r="M43" i="1"/>
  <c r="M34" i="1"/>
  <c r="M26" i="1"/>
  <c r="M10" i="1"/>
  <c r="H111" i="4" s="1"/>
  <c r="B15" i="1"/>
  <c r="H28" i="5" s="1"/>
  <c r="B23" i="1"/>
  <c r="B31" i="1"/>
  <c r="B39" i="1"/>
  <c r="V64" i="1"/>
  <c r="V48" i="1"/>
  <c r="V35" i="1"/>
  <c r="V27" i="1"/>
  <c r="V19" i="1"/>
  <c r="V11" i="1"/>
  <c r="H200" i="5" s="1"/>
  <c r="V45" i="1"/>
  <c r="L58" i="1"/>
  <c r="L39" i="1"/>
  <c r="L137" i="1"/>
  <c r="L133" i="1"/>
  <c r="L129" i="1"/>
  <c r="L125" i="1"/>
  <c r="L121" i="1"/>
  <c r="L117" i="1"/>
  <c r="L113" i="1"/>
  <c r="L109" i="1"/>
  <c r="L105" i="1"/>
  <c r="L101" i="1"/>
  <c r="L97" i="1"/>
  <c r="L93" i="1"/>
  <c r="L89" i="1"/>
  <c r="L85" i="1"/>
  <c r="L81" i="1"/>
  <c r="L77" i="1"/>
  <c r="L53" i="1"/>
  <c r="L21" i="1"/>
  <c r="L55" i="1"/>
  <c r="L40" i="1"/>
  <c r="L32" i="1"/>
  <c r="L24" i="1"/>
  <c r="L16" i="1"/>
  <c r="H117" i="5" s="1"/>
  <c r="M56" i="1"/>
  <c r="M206" i="1"/>
  <c r="M197" i="1"/>
  <c r="M193" i="1"/>
  <c r="M189" i="1"/>
  <c r="M185" i="1"/>
  <c r="M181" i="1"/>
  <c r="M177" i="1"/>
  <c r="M173" i="1"/>
  <c r="M169" i="1"/>
  <c r="M165" i="1"/>
  <c r="M161" i="1"/>
  <c r="M157" i="1"/>
  <c r="M153" i="1"/>
  <c r="M149" i="1"/>
  <c r="M145" i="1"/>
  <c r="M141" i="1"/>
  <c r="M137" i="1"/>
  <c r="M133" i="1"/>
  <c r="M129" i="1"/>
  <c r="M125" i="1"/>
  <c r="M121" i="1"/>
  <c r="M52" i="1"/>
  <c r="M39" i="1"/>
  <c r="M9" i="1"/>
  <c r="H110" i="4" s="1"/>
  <c r="M201" i="1"/>
  <c r="M17" i="1"/>
  <c r="H118" i="4" s="1"/>
  <c r="M114" i="1"/>
  <c r="M110" i="1"/>
  <c r="M106" i="1"/>
  <c r="M102" i="1"/>
  <c r="M98" i="1"/>
  <c r="M94" i="1"/>
  <c r="M90" i="1"/>
  <c r="M86" i="1"/>
  <c r="M82" i="1"/>
  <c r="M78" i="1"/>
  <c r="M48" i="1"/>
  <c r="M21" i="1"/>
  <c r="M35" i="1"/>
  <c r="M77" i="1"/>
  <c r="M73" i="1"/>
  <c r="M69" i="1"/>
  <c r="M62" i="1"/>
  <c r="M46" i="1"/>
  <c r="M47" i="1"/>
  <c r="M36" i="1"/>
  <c r="M28" i="1"/>
  <c r="M20" i="1"/>
  <c r="M12" i="1"/>
  <c r="H113" i="4" s="1"/>
  <c r="W9" i="1"/>
  <c r="H198" i="4" s="1"/>
  <c r="W11" i="1"/>
  <c r="H200" i="4" s="1"/>
  <c r="W13" i="1"/>
  <c r="H202" i="4" s="1"/>
  <c r="W15" i="1"/>
  <c r="H204" i="4" s="1"/>
  <c r="W17" i="1"/>
  <c r="H206" i="4" s="1"/>
  <c r="W19" i="1"/>
  <c r="W21" i="1"/>
  <c r="W23" i="1"/>
  <c r="W25" i="1"/>
  <c r="W27" i="1"/>
  <c r="W29" i="1"/>
  <c r="W31" i="1"/>
  <c r="W33" i="1"/>
  <c r="W35" i="1"/>
  <c r="W37" i="1"/>
  <c r="W39" i="1"/>
  <c r="W44" i="1"/>
  <c r="W48" i="1"/>
  <c r="W52" i="1"/>
  <c r="W43" i="1"/>
  <c r="W47" i="1"/>
  <c r="W51" i="1"/>
  <c r="W55" i="1"/>
  <c r="W59" i="1"/>
  <c r="W63" i="1"/>
  <c r="W66" i="1"/>
  <c r="W67" i="1"/>
  <c r="W68" i="1"/>
  <c r="W69" i="1"/>
  <c r="W70" i="1"/>
  <c r="W71" i="1"/>
  <c r="W72" i="1"/>
  <c r="W73" i="1"/>
  <c r="W74" i="1"/>
  <c r="W75" i="1"/>
  <c r="W76" i="1"/>
  <c r="W77" i="1"/>
  <c r="W10" i="1"/>
  <c r="H199" i="4" s="1"/>
  <c r="W18" i="1"/>
  <c r="W26" i="1"/>
  <c r="W34" i="1"/>
  <c r="W42" i="1"/>
  <c r="W50" i="1"/>
  <c r="W56" i="1"/>
  <c r="W58" i="1"/>
  <c r="W65" i="1"/>
  <c r="W12" i="1"/>
  <c r="H201" i="4" s="1"/>
  <c r="W20" i="1"/>
  <c r="W28" i="1"/>
  <c r="W36" i="1"/>
  <c r="W41" i="1"/>
  <c r="W49" i="1"/>
  <c r="W60" i="1"/>
  <c r="W62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4" i="1"/>
  <c r="H203" i="4" s="1"/>
  <c r="W16" i="1"/>
  <c r="H205" i="4" s="1"/>
  <c r="W30" i="1"/>
  <c r="W38" i="1"/>
  <c r="W199" i="1"/>
  <c r="W200" i="1"/>
  <c r="W201" i="1"/>
  <c r="W202" i="1"/>
  <c r="W203" i="1"/>
  <c r="W204" i="1"/>
  <c r="W205" i="1"/>
  <c r="W206" i="1"/>
  <c r="W207" i="1"/>
  <c r="Y207" i="1" s="1"/>
  <c r="W8" i="1"/>
  <c r="W22" i="1"/>
  <c r="W24" i="1"/>
  <c r="W61" i="1"/>
  <c r="W118" i="1"/>
  <c r="W119" i="1"/>
  <c r="W120" i="1"/>
  <c r="W121" i="1"/>
  <c r="W123" i="1"/>
  <c r="W129" i="1"/>
  <c r="W130" i="1"/>
  <c r="W131" i="1"/>
  <c r="W133" i="1"/>
  <c r="W135" i="1"/>
  <c r="W45" i="1"/>
  <c r="W53" i="1"/>
  <c r="W46" i="1"/>
  <c r="W54" i="1"/>
  <c r="W57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32" i="1"/>
  <c r="W40" i="1"/>
  <c r="W64" i="1"/>
  <c r="W122" i="1"/>
  <c r="W124" i="1"/>
  <c r="W125" i="1"/>
  <c r="W126" i="1"/>
  <c r="W127" i="1"/>
  <c r="W128" i="1"/>
  <c r="W132" i="1"/>
  <c r="W134" i="1"/>
  <c r="W136" i="1"/>
  <c r="L57" i="1"/>
  <c r="L64" i="1"/>
  <c r="L67" i="1"/>
  <c r="L75" i="1"/>
  <c r="L71" i="1"/>
  <c r="L138" i="1"/>
  <c r="L140" i="1"/>
  <c r="L142" i="1"/>
  <c r="L144" i="1"/>
  <c r="L148" i="1"/>
  <c r="L149" i="1"/>
  <c r="L151" i="1"/>
  <c r="L153" i="1"/>
  <c r="L155" i="1"/>
  <c r="L157" i="1"/>
  <c r="L159" i="1"/>
  <c r="L161" i="1"/>
  <c r="L163" i="1"/>
  <c r="L166" i="1"/>
  <c r="L168" i="1"/>
  <c r="L171" i="1"/>
  <c r="L172" i="1"/>
  <c r="L173" i="1"/>
  <c r="L175" i="1"/>
  <c r="L177" i="1"/>
  <c r="L179" i="1"/>
  <c r="L180" i="1"/>
  <c r="L181" i="1"/>
  <c r="L183" i="1"/>
  <c r="L185" i="1"/>
  <c r="L188" i="1"/>
  <c r="L189" i="1"/>
  <c r="L191" i="1"/>
  <c r="L192" i="1"/>
  <c r="L193" i="1"/>
  <c r="L194" i="1"/>
  <c r="L195" i="1"/>
  <c r="L198" i="1"/>
  <c r="L199" i="1"/>
  <c r="L201" i="1"/>
  <c r="L204" i="1"/>
  <c r="L205" i="1"/>
  <c r="L206" i="1"/>
  <c r="L9" i="1"/>
  <c r="H110" i="5" s="1"/>
  <c r="L11" i="1"/>
  <c r="H112" i="5" s="1"/>
  <c r="L27" i="1"/>
  <c r="L33" i="1"/>
  <c r="L41" i="1"/>
  <c r="L46" i="1"/>
  <c r="L49" i="1"/>
  <c r="L54" i="1"/>
  <c r="L70" i="1"/>
  <c r="L19" i="1"/>
  <c r="L60" i="1"/>
  <c r="L61" i="1"/>
  <c r="L62" i="1"/>
  <c r="L66" i="1"/>
  <c r="L74" i="1"/>
  <c r="L139" i="1"/>
  <c r="L141" i="1"/>
  <c r="L143" i="1"/>
  <c r="L145" i="1"/>
  <c r="L146" i="1"/>
  <c r="L147" i="1"/>
  <c r="L150" i="1"/>
  <c r="L152" i="1"/>
  <c r="L154" i="1"/>
  <c r="L156" i="1"/>
  <c r="L158" i="1"/>
  <c r="L160" i="1"/>
  <c r="L162" i="1"/>
  <c r="L164" i="1"/>
  <c r="L165" i="1"/>
  <c r="L167" i="1"/>
  <c r="L169" i="1"/>
  <c r="L170" i="1"/>
  <c r="L174" i="1"/>
  <c r="L176" i="1"/>
  <c r="L178" i="1"/>
  <c r="L182" i="1"/>
  <c r="L184" i="1"/>
  <c r="L186" i="1"/>
  <c r="L187" i="1"/>
  <c r="L190" i="1"/>
  <c r="L196" i="1"/>
  <c r="L197" i="1"/>
  <c r="L200" i="1"/>
  <c r="L202" i="1"/>
  <c r="L203" i="1"/>
  <c r="L207" i="1"/>
  <c r="N207" i="1" s="1"/>
  <c r="L25" i="1"/>
  <c r="L35" i="1"/>
  <c r="C9" i="1"/>
  <c r="H22" i="4" s="1"/>
  <c r="C11" i="1"/>
  <c r="H24" i="4" s="1"/>
  <c r="C13" i="1"/>
  <c r="H26" i="4" s="1"/>
  <c r="C15" i="1"/>
  <c r="H28" i="4" s="1"/>
  <c r="C17" i="1"/>
  <c r="H30" i="4" s="1"/>
  <c r="C19" i="1"/>
  <c r="C21" i="1"/>
  <c r="C23" i="1"/>
  <c r="C25" i="1"/>
  <c r="C27" i="1"/>
  <c r="C29" i="1"/>
  <c r="C31" i="1"/>
  <c r="C33" i="1"/>
  <c r="C35" i="1"/>
  <c r="C37" i="1"/>
  <c r="C39" i="1"/>
  <c r="C41" i="1"/>
  <c r="C42" i="1"/>
  <c r="C46" i="1"/>
  <c r="C50" i="1"/>
  <c r="C54" i="1"/>
  <c r="C45" i="1"/>
  <c r="C49" i="1"/>
  <c r="C53" i="1"/>
  <c r="C57" i="1"/>
  <c r="C61" i="1"/>
  <c r="C65" i="1"/>
  <c r="C67" i="1"/>
  <c r="C68" i="1"/>
  <c r="C69" i="1"/>
  <c r="C70" i="1"/>
  <c r="C71" i="1"/>
  <c r="C72" i="1"/>
  <c r="C73" i="1"/>
  <c r="C74" i="1"/>
  <c r="C75" i="1"/>
  <c r="C76" i="1"/>
  <c r="C77" i="1"/>
  <c r="C78" i="1"/>
  <c r="C12" i="1"/>
  <c r="H25" i="4" s="1"/>
  <c r="C20" i="1"/>
  <c r="C28" i="1"/>
  <c r="C36" i="1"/>
  <c r="C47" i="1"/>
  <c r="C55" i="1"/>
  <c r="C58" i="1"/>
  <c r="C60" i="1"/>
  <c r="C63" i="1"/>
  <c r="C14" i="1"/>
  <c r="H27" i="4" s="1"/>
  <c r="C22" i="1"/>
  <c r="C30" i="1"/>
  <c r="C38" i="1"/>
  <c r="C44" i="1"/>
  <c r="C52" i="1"/>
  <c r="C62" i="1"/>
  <c r="C64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6" i="1"/>
  <c r="H29" i="4" s="1"/>
  <c r="C18" i="1"/>
  <c r="C48" i="1"/>
  <c r="C56" i="1"/>
  <c r="C59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200" i="1"/>
  <c r="C201" i="1"/>
  <c r="C202" i="1"/>
  <c r="C203" i="1"/>
  <c r="C204" i="1"/>
  <c r="C205" i="1"/>
  <c r="C206" i="1"/>
  <c r="C51" i="1"/>
  <c r="C32" i="1"/>
  <c r="C40" i="1"/>
  <c r="C66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7" i="1"/>
  <c r="E207" i="1" s="1"/>
  <c r="C8" i="1"/>
  <c r="C10" i="1"/>
  <c r="H23" i="4" s="1"/>
  <c r="C24" i="1"/>
  <c r="C26" i="1"/>
  <c r="C34" i="1"/>
  <c r="C43" i="1"/>
  <c r="B43" i="1"/>
  <c r="B47" i="1"/>
  <c r="B51" i="1"/>
  <c r="B55" i="1"/>
  <c r="B46" i="1"/>
  <c r="B50" i="1"/>
  <c r="B54" i="1"/>
  <c r="B58" i="1"/>
  <c r="B62" i="1"/>
  <c r="B66" i="1"/>
  <c r="B14" i="1"/>
  <c r="H27" i="5" s="1"/>
  <c r="B22" i="1"/>
  <c r="B30" i="1"/>
  <c r="B38" i="1"/>
  <c r="B44" i="1"/>
  <c r="B52" i="1"/>
  <c r="B64" i="1"/>
  <c r="B67" i="1"/>
  <c r="B71" i="1"/>
  <c r="B75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8" i="1"/>
  <c r="B16" i="1"/>
  <c r="H29" i="5" s="1"/>
  <c r="B24" i="1"/>
  <c r="B32" i="1"/>
  <c r="B40" i="1"/>
  <c r="B49" i="1"/>
  <c r="B57" i="1"/>
  <c r="B70" i="1"/>
  <c r="B74" i="1"/>
  <c r="B78" i="1"/>
  <c r="B12" i="1"/>
  <c r="H25" i="5" s="1"/>
  <c r="B28" i="1"/>
  <c r="B36" i="1"/>
  <c r="B72" i="1"/>
  <c r="B73" i="1"/>
  <c r="B20" i="1"/>
  <c r="B61" i="1"/>
  <c r="B69" i="1"/>
  <c r="B77" i="1"/>
  <c r="B139" i="1"/>
  <c r="B141" i="1"/>
  <c r="B143" i="1"/>
  <c r="B144" i="1"/>
  <c r="B145" i="1"/>
  <c r="B147" i="1"/>
  <c r="B150" i="1"/>
  <c r="B152" i="1"/>
  <c r="B154" i="1"/>
  <c r="B156" i="1"/>
  <c r="B158" i="1"/>
  <c r="B160" i="1"/>
  <c r="B162" i="1"/>
  <c r="B164" i="1"/>
  <c r="B165" i="1"/>
  <c r="B167" i="1"/>
  <c r="B169" i="1"/>
  <c r="B172" i="1"/>
  <c r="B174" i="1"/>
  <c r="B176" i="1"/>
  <c r="B178" i="1"/>
  <c r="B180" i="1"/>
  <c r="B182" i="1"/>
  <c r="B184" i="1"/>
  <c r="B186" i="1"/>
  <c r="B187" i="1"/>
  <c r="B188" i="1"/>
  <c r="B190" i="1"/>
  <c r="B192" i="1"/>
  <c r="B194" i="1"/>
  <c r="B196" i="1"/>
  <c r="B197" i="1"/>
  <c r="B198" i="1"/>
  <c r="B202" i="1"/>
  <c r="B203" i="1"/>
  <c r="B204" i="1"/>
  <c r="B206" i="1"/>
  <c r="B207" i="1"/>
  <c r="D207" i="1" s="1"/>
  <c r="B26" i="1"/>
  <c r="B63" i="1"/>
  <c r="B18" i="1"/>
  <c r="B45" i="1"/>
  <c r="B48" i="1"/>
  <c r="B53" i="1"/>
  <c r="B56" i="1"/>
  <c r="B59" i="1"/>
  <c r="B65" i="1"/>
  <c r="B60" i="1"/>
  <c r="B68" i="1"/>
  <c r="B76" i="1"/>
  <c r="B138" i="1"/>
  <c r="B140" i="1"/>
  <c r="B142" i="1"/>
  <c r="B146" i="1"/>
  <c r="B148" i="1"/>
  <c r="B149" i="1"/>
  <c r="B151" i="1"/>
  <c r="B153" i="1"/>
  <c r="B155" i="1"/>
  <c r="B157" i="1"/>
  <c r="B159" i="1"/>
  <c r="B161" i="1"/>
  <c r="B163" i="1"/>
  <c r="B166" i="1"/>
  <c r="B168" i="1"/>
  <c r="B170" i="1"/>
  <c r="B171" i="1"/>
  <c r="B173" i="1"/>
  <c r="B175" i="1"/>
  <c r="B177" i="1"/>
  <c r="B179" i="1"/>
  <c r="B181" i="1"/>
  <c r="B183" i="1"/>
  <c r="B185" i="1"/>
  <c r="B189" i="1"/>
  <c r="B191" i="1"/>
  <c r="B193" i="1"/>
  <c r="B195" i="1"/>
  <c r="B199" i="1"/>
  <c r="B200" i="1"/>
  <c r="B201" i="1"/>
  <c r="B205" i="1"/>
  <c r="B10" i="1"/>
  <c r="H23" i="5" s="1"/>
  <c r="B34" i="1"/>
  <c r="V12" i="1"/>
  <c r="H201" i="5" s="1"/>
  <c r="V20" i="1"/>
  <c r="V28" i="1"/>
  <c r="V36" i="1"/>
  <c r="V62" i="1"/>
  <c r="V68" i="1"/>
  <c r="V72" i="1"/>
  <c r="V76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38" i="1"/>
  <c r="V46" i="1"/>
  <c r="V47" i="1"/>
  <c r="V54" i="1"/>
  <c r="V55" i="1"/>
  <c r="V57" i="1"/>
  <c r="V67" i="1"/>
  <c r="V71" i="1"/>
  <c r="V75" i="1"/>
  <c r="V18" i="1"/>
  <c r="V42" i="1"/>
  <c r="V50" i="1"/>
  <c r="V70" i="1"/>
  <c r="V73" i="1"/>
  <c r="V26" i="1"/>
  <c r="V34" i="1"/>
  <c r="V51" i="1"/>
  <c r="V59" i="1"/>
  <c r="V66" i="1"/>
  <c r="V69" i="1"/>
  <c r="V74" i="1"/>
  <c r="V77" i="1"/>
  <c r="V137" i="1"/>
  <c r="V139" i="1"/>
  <c r="V141" i="1"/>
  <c r="V145" i="1"/>
  <c r="V146" i="1"/>
  <c r="V147" i="1"/>
  <c r="V150" i="1"/>
  <c r="V152" i="1"/>
  <c r="V154" i="1"/>
  <c r="V156" i="1"/>
  <c r="V158" i="1"/>
  <c r="V160" i="1"/>
  <c r="V162" i="1"/>
  <c r="V164" i="1"/>
  <c r="V165" i="1"/>
  <c r="V167" i="1"/>
  <c r="V169" i="1"/>
  <c r="V170" i="1"/>
  <c r="V174" i="1"/>
  <c r="V176" i="1"/>
  <c r="V178" i="1"/>
  <c r="V182" i="1"/>
  <c r="V184" i="1"/>
  <c r="V186" i="1"/>
  <c r="V190" i="1"/>
  <c r="V196" i="1"/>
  <c r="V199" i="1"/>
  <c r="V200" i="1"/>
  <c r="V202" i="1"/>
  <c r="V207" i="1"/>
  <c r="X207" i="1" s="1"/>
  <c r="V8" i="1"/>
  <c r="V32" i="1"/>
  <c r="V40" i="1"/>
  <c r="V61" i="1"/>
  <c r="V65" i="1"/>
  <c r="V16" i="1"/>
  <c r="H205" i="5" s="1"/>
  <c r="V63" i="1"/>
  <c r="V10" i="1"/>
  <c r="H199" i="5" s="1"/>
  <c r="V43" i="1"/>
  <c r="V138" i="1"/>
  <c r="V140" i="1"/>
  <c r="V142" i="1"/>
  <c r="V143" i="1"/>
  <c r="V144" i="1"/>
  <c r="V148" i="1"/>
  <c r="V149" i="1"/>
  <c r="V151" i="1"/>
  <c r="V153" i="1"/>
  <c r="V155" i="1"/>
  <c r="V157" i="1"/>
  <c r="V159" i="1"/>
  <c r="V161" i="1"/>
  <c r="V163" i="1"/>
  <c r="V166" i="1"/>
  <c r="V168" i="1"/>
  <c r="V171" i="1"/>
  <c r="V172" i="1"/>
  <c r="V173" i="1"/>
  <c r="V175" i="1"/>
  <c r="V177" i="1"/>
  <c r="V179" i="1"/>
  <c r="V180" i="1"/>
  <c r="V181" i="1"/>
  <c r="V183" i="1"/>
  <c r="V185" i="1"/>
  <c r="V187" i="1"/>
  <c r="V188" i="1"/>
  <c r="V189" i="1"/>
  <c r="V191" i="1"/>
  <c r="V192" i="1"/>
  <c r="V193" i="1"/>
  <c r="V194" i="1"/>
  <c r="V195" i="1"/>
  <c r="V197" i="1"/>
  <c r="V198" i="1"/>
  <c r="V201" i="1"/>
  <c r="V203" i="1"/>
  <c r="V204" i="1"/>
  <c r="V205" i="1"/>
  <c r="V206" i="1"/>
  <c r="V24" i="1"/>
  <c r="V58" i="1"/>
  <c r="B19" i="1"/>
  <c r="V39" i="1"/>
  <c r="V23" i="1"/>
  <c r="V53" i="1"/>
  <c r="V30" i="1"/>
  <c r="B9" i="1"/>
  <c r="H22" i="5" s="1"/>
  <c r="B13" i="1"/>
  <c r="H26" i="5" s="1"/>
  <c r="V44" i="1"/>
  <c r="L76" i="1"/>
  <c r="L31" i="1"/>
  <c r="L132" i="1"/>
  <c r="L124" i="1"/>
  <c r="L116" i="1"/>
  <c r="L108" i="1"/>
  <c r="L100" i="1"/>
  <c r="L92" i="1"/>
  <c r="L84" i="1"/>
  <c r="L73" i="1"/>
  <c r="L13" i="1"/>
  <c r="H114" i="5" s="1"/>
  <c r="L38" i="1"/>
  <c r="L22" i="1"/>
  <c r="L14" i="1"/>
  <c r="H115" i="5" s="1"/>
  <c r="M49" i="1"/>
  <c r="M192" i="1"/>
  <c r="M184" i="1"/>
  <c r="M176" i="1"/>
  <c r="M168" i="1"/>
  <c r="M160" i="1"/>
  <c r="M152" i="1"/>
  <c r="M144" i="1"/>
  <c r="M136" i="1"/>
  <c r="M128" i="1"/>
  <c r="M120" i="1"/>
  <c r="M33" i="1"/>
  <c r="M200" i="1"/>
  <c r="M113" i="1"/>
  <c r="M105" i="1"/>
  <c r="M97" i="1"/>
  <c r="M89" i="1"/>
  <c r="M65" i="1"/>
  <c r="M18" i="1"/>
  <c r="B17" i="1"/>
  <c r="H30" i="5" s="1"/>
  <c r="B25" i="1"/>
  <c r="B33" i="1"/>
  <c r="B41" i="1"/>
  <c r="V52" i="1"/>
  <c r="V37" i="1"/>
  <c r="V29" i="1"/>
  <c r="V21" i="1"/>
  <c r="V13" i="1"/>
  <c r="H202" i="5" s="1"/>
  <c r="V49" i="1"/>
  <c r="V22" i="1"/>
  <c r="L68" i="1"/>
  <c r="L42" i="1"/>
  <c r="L15" i="1"/>
  <c r="H116" i="5" s="1"/>
  <c r="L134" i="1"/>
  <c r="L130" i="1"/>
  <c r="L126" i="1"/>
  <c r="L122" i="1"/>
  <c r="L118" i="1"/>
  <c r="L114" i="1"/>
  <c r="L110" i="1"/>
  <c r="L106" i="1"/>
  <c r="L102" i="1"/>
  <c r="L98" i="1"/>
  <c r="L94" i="1"/>
  <c r="L90" i="1"/>
  <c r="L86" i="1"/>
  <c r="L82" i="1"/>
  <c r="L78" i="1"/>
  <c r="L65" i="1"/>
  <c r="L29" i="1"/>
  <c r="L59" i="1"/>
  <c r="L43" i="1"/>
  <c r="L34" i="1"/>
  <c r="L26" i="1"/>
  <c r="L18" i="1"/>
  <c r="L10" i="1"/>
  <c r="H111" i="5" s="1"/>
  <c r="L44" i="1"/>
  <c r="M63" i="1"/>
  <c r="M207" i="1"/>
  <c r="O207" i="1" s="1"/>
  <c r="M198" i="1"/>
  <c r="M194" i="1"/>
  <c r="M190" i="1"/>
  <c r="M186" i="1"/>
  <c r="M182" i="1"/>
  <c r="M178" i="1"/>
  <c r="M174" i="1"/>
  <c r="M170" i="1"/>
  <c r="M166" i="1"/>
  <c r="M162" i="1"/>
  <c r="M158" i="1"/>
  <c r="M154" i="1"/>
  <c r="M150" i="1"/>
  <c r="M146" i="1"/>
  <c r="M142" i="1"/>
  <c r="M138" i="1"/>
  <c r="M134" i="1"/>
  <c r="M130" i="1"/>
  <c r="M126" i="1"/>
  <c r="M122" i="1"/>
  <c r="M118" i="1"/>
  <c r="M41" i="1"/>
  <c r="M25" i="1"/>
  <c r="M202" i="1"/>
  <c r="M23" i="1"/>
  <c r="M115" i="1"/>
  <c r="M111" i="1"/>
  <c r="M107" i="1"/>
  <c r="M103" i="1"/>
  <c r="M99" i="1"/>
  <c r="M95" i="1"/>
  <c r="M91" i="1"/>
  <c r="M87" i="1"/>
  <c r="M83" i="1"/>
  <c r="M79" i="1"/>
  <c r="M53" i="1"/>
  <c r="M29" i="1"/>
  <c r="M61" i="1"/>
  <c r="M11" i="1"/>
  <c r="H112" i="4" s="1"/>
  <c r="M74" i="1"/>
  <c r="M70" i="1"/>
  <c r="M66" i="1"/>
  <c r="M50" i="1"/>
  <c r="M51" i="1"/>
  <c r="M38" i="1"/>
  <c r="M30" i="1"/>
  <c r="M22" i="1"/>
</calcChain>
</file>

<file path=xl/sharedStrings.xml><?xml version="1.0" encoding="utf-8"?>
<sst xmlns="http://schemas.openxmlformats.org/spreadsheetml/2006/main" count="1114" uniqueCount="186">
  <si>
    <t>I/Is</t>
    <phoneticPr fontId="1" type="noConversion"/>
  </si>
  <si>
    <t>td(I)</t>
    <phoneticPr fontId="1" type="noConversion"/>
  </si>
  <si>
    <t>Lco-td(I)</t>
    <phoneticPr fontId="1" type="noConversion"/>
  </si>
  <si>
    <t>電譯01</t>
  </si>
  <si>
    <t>M/G微處理型保護電譯CO曲線</t>
  </si>
  <si>
    <t>曲線名稱：</t>
  </si>
  <si>
    <t>預定負載為          Load＝</t>
  </si>
  <si>
    <t>KVA</t>
  </si>
  <si>
    <t>基準側電壓：          Vb＝</t>
  </si>
  <si>
    <t>KV</t>
  </si>
  <si>
    <t>換算側電壓：          Vt＝</t>
  </si>
  <si>
    <t>過載百分比：          L%＝</t>
  </si>
  <si>
    <t>%</t>
  </si>
  <si>
    <t>變流比：            CT比＝</t>
  </si>
  <si>
    <t xml:space="preserve"> </t>
  </si>
  <si>
    <t>計算分接頭標置：      Tc＝</t>
  </si>
  <si>
    <t>選用分接頭標置：      Ts＝</t>
  </si>
  <si>
    <t>換算一次側設定電流：  Is＝</t>
  </si>
  <si>
    <t>A</t>
  </si>
  <si>
    <t>時間標置：            t&gt;＝</t>
  </si>
  <si>
    <t>二次側瞬跳電流標置： IIT＝</t>
  </si>
  <si>
    <t>一次側最小動作電流：Imin＝</t>
  </si>
  <si>
    <t>一次側瞬跳動作電流： I&gt;&gt;＝</t>
  </si>
  <si>
    <t>選用電驛廠牌型號：</t>
  </si>
  <si>
    <t>變流比CT＝</t>
  </si>
  <si>
    <t>一次側額定電流In＝</t>
  </si>
  <si>
    <t>時間標置 t&gt;＝</t>
  </si>
  <si>
    <t>二次分接頭I&gt;＝</t>
  </si>
  <si>
    <t>一次側設定電流Is＝</t>
  </si>
  <si>
    <t>曲線TYPE＝</t>
  </si>
  <si>
    <t>一次側瞬跳電流I&gt;&gt;＝</t>
  </si>
  <si>
    <t>分 接 頭　　電流倍數</t>
  </si>
  <si>
    <t>過    電    流    值   (A)</t>
  </si>
  <si>
    <t>動 作 時 間 (秒)</t>
  </si>
  <si>
    <t>基 準 側</t>
  </si>
  <si>
    <t>換 算 側</t>
  </si>
  <si>
    <t>I&gt;&gt;</t>
    <phoneticPr fontId="1" type="noConversion"/>
  </si>
  <si>
    <t>實際設定值如下：</t>
  </si>
  <si>
    <t>形  式</t>
  </si>
  <si>
    <t>備   註</t>
  </si>
  <si>
    <t>Tc＝</t>
  </si>
  <si>
    <t>Load x (L%/100)</t>
  </si>
  <si>
    <t>In</t>
  </si>
  <si>
    <t>CT一次側額定值</t>
  </si>
  <si>
    <r>
      <t>√3 x Vt x CT</t>
    </r>
    <r>
      <rPr>
        <vertAlign val="subscript"/>
        <sz val="12"/>
        <rFont val="標楷體"/>
        <family val="4"/>
      </rPr>
      <t>一次測</t>
    </r>
    <phoneticPr fontId="1" type="noConversion"/>
  </si>
  <si>
    <t>Is</t>
  </si>
  <si>
    <t>0.1～2.4 In</t>
  </si>
  <si>
    <t xml:space="preserve"> Imin＝</t>
  </si>
  <si>
    <t>1.2 x Is</t>
  </si>
  <si>
    <t>t&gt;</t>
  </si>
  <si>
    <t>0.1～12.5s在10Is</t>
  </si>
  <si>
    <t>Is＝</t>
  </si>
  <si>
    <r>
      <t>Ts x CT</t>
    </r>
    <r>
      <rPr>
        <vertAlign val="subscript"/>
        <sz val="12"/>
        <rFont val="標楷體"/>
        <family val="4"/>
      </rPr>
      <t>一次測</t>
    </r>
  </si>
  <si>
    <t>I&gt;&gt;</t>
  </si>
  <si>
    <t>0.1～24In</t>
  </si>
  <si>
    <t>IIT＝</t>
  </si>
  <si>
    <t>t&gt;&gt;</t>
  </si>
  <si>
    <r>
      <t>CT</t>
    </r>
    <r>
      <rPr>
        <vertAlign val="subscript"/>
        <sz val="12"/>
        <rFont val="標楷體"/>
        <family val="4"/>
      </rPr>
      <t>比值</t>
    </r>
    <phoneticPr fontId="1" type="noConversion"/>
  </si>
  <si>
    <t>CURVE</t>
  </si>
  <si>
    <t>請選擇變壓器接法</t>
  </si>
  <si>
    <t>M/G微處理型保護電譯LCO曲線</t>
  </si>
  <si>
    <r>
      <t>計算分接頭標置：      Tc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  <phoneticPr fontId="1" type="noConversion"/>
  </si>
  <si>
    <r>
      <t>選用分接頭標置：      Ts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</si>
  <si>
    <r>
      <t>換算一次側設定電流：  Is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</si>
  <si>
    <r>
      <t>時間標置：            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&gt;＝</t>
    </r>
  </si>
  <si>
    <r>
      <t>二次側瞬跳電流標置： IIT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</si>
  <si>
    <r>
      <t>一次側瞬跳動作電流： 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&gt;&gt;＝</t>
    </r>
  </si>
  <si>
    <r>
      <t>時間標置 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&gt;＝</t>
    </r>
  </si>
  <si>
    <r>
      <t>分接頭I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&gt;＝</t>
    </r>
  </si>
  <si>
    <t>EIT</t>
  </si>
  <si>
    <r>
      <t>Tc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  <phoneticPr fontId="1" type="noConversion"/>
  </si>
  <si>
    <r>
      <t>In</t>
    </r>
    <r>
      <rPr>
        <vertAlign val="subscript"/>
        <sz val="12"/>
        <rFont val="標楷體"/>
        <family val="4"/>
      </rPr>
      <t>0</t>
    </r>
  </si>
  <si>
    <r>
      <t>Is</t>
    </r>
    <r>
      <rPr>
        <vertAlign val="subscript"/>
        <sz val="12"/>
        <rFont val="標楷體"/>
        <family val="4"/>
      </rPr>
      <t>0</t>
    </r>
  </si>
  <si>
    <t>0.1～1 In</t>
  </si>
  <si>
    <r>
      <t>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</t>
    </r>
  </si>
  <si>
    <r>
      <t>Is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  <phoneticPr fontId="1" type="noConversion"/>
  </si>
  <si>
    <r>
      <t>Ts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 xml:space="preserve"> x CT</t>
    </r>
    <r>
      <rPr>
        <vertAlign val="subscript"/>
        <sz val="12"/>
        <rFont val="標楷體"/>
        <family val="4"/>
      </rPr>
      <t>一次測</t>
    </r>
    <phoneticPr fontId="1" type="noConversion"/>
  </si>
  <si>
    <r>
      <t>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</t>
    </r>
  </si>
  <si>
    <t>0.1～15In</t>
  </si>
  <si>
    <r>
      <t>IIT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＝</t>
    </r>
    <phoneticPr fontId="1" type="noConversion"/>
  </si>
  <si>
    <r>
      <t>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</t>
    </r>
    <phoneticPr fontId="1" type="noConversion"/>
  </si>
  <si>
    <r>
      <t>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</t>
    </r>
  </si>
  <si>
    <r>
      <t>Is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&gt;＝</t>
    </r>
    <phoneticPr fontId="1" type="noConversion"/>
  </si>
  <si>
    <r>
      <t>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&gt;&gt;＝</t>
    </r>
    <phoneticPr fontId="1" type="noConversion"/>
  </si>
  <si>
    <t>I&gt;</t>
  </si>
  <si>
    <t>CT</t>
  </si>
  <si>
    <t>L%</t>
  </si>
  <si>
    <t>Tc</t>
  </si>
  <si>
    <t>SIT</t>
  </si>
  <si>
    <t>VIT</t>
  </si>
  <si>
    <t>UIT</t>
  </si>
  <si>
    <r>
      <t>In</t>
    </r>
    <r>
      <rPr>
        <b/>
        <vertAlign val="subscript"/>
        <sz val="12"/>
        <rFont val="標楷體"/>
        <family val="4"/>
      </rPr>
      <t>0</t>
    </r>
  </si>
  <si>
    <r>
      <t>I</t>
    </r>
    <r>
      <rPr>
        <b/>
        <vertAlign val="subscript"/>
        <sz val="12"/>
        <rFont val="標楷體"/>
        <family val="4"/>
      </rPr>
      <t>0</t>
    </r>
    <r>
      <rPr>
        <b/>
        <sz val="12"/>
        <rFont val="標楷體"/>
        <family val="4"/>
      </rPr>
      <t>&gt;</t>
    </r>
  </si>
  <si>
    <r>
      <t>I</t>
    </r>
    <r>
      <rPr>
        <b/>
        <vertAlign val="subscript"/>
        <sz val="12"/>
        <rFont val="標楷體"/>
        <family val="4"/>
      </rPr>
      <t>0</t>
    </r>
    <r>
      <rPr>
        <b/>
        <sz val="12"/>
        <rFont val="標楷體"/>
        <family val="4"/>
      </rPr>
      <t>&gt;&gt;</t>
    </r>
  </si>
  <si>
    <r>
      <t>t</t>
    </r>
    <r>
      <rPr>
        <b/>
        <vertAlign val="subscript"/>
        <sz val="12"/>
        <rFont val="標楷體"/>
        <family val="4"/>
      </rPr>
      <t>0</t>
    </r>
    <r>
      <rPr>
        <b/>
        <sz val="12"/>
        <rFont val="標楷體"/>
        <family val="4"/>
      </rPr>
      <t>&gt;</t>
    </r>
  </si>
  <si>
    <t>所選用曲線：</t>
    <phoneticPr fontId="1" type="noConversion"/>
  </si>
  <si>
    <t>k</t>
    <phoneticPr fontId="1" type="noConversion"/>
  </si>
  <si>
    <t>T</t>
    <phoneticPr fontId="1" type="noConversion"/>
  </si>
  <si>
    <t>α</t>
    <phoneticPr fontId="1" type="noConversion"/>
  </si>
  <si>
    <t>β</t>
    <phoneticPr fontId="1" type="noConversion"/>
  </si>
  <si>
    <r>
      <t>IIT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 xml:space="preserve"> x CT一次測</t>
    </r>
    <phoneticPr fontId="1" type="noConversion"/>
  </si>
  <si>
    <r>
      <t>CT</t>
    </r>
    <r>
      <rPr>
        <vertAlign val="subscript"/>
        <sz val="12"/>
        <rFont val="標楷體"/>
        <family val="4"/>
      </rPr>
      <t>一次側</t>
    </r>
    <phoneticPr fontId="1" type="noConversion"/>
  </si>
  <si>
    <r>
      <t>分接頭I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&gt;&gt;＝</t>
    </r>
    <phoneticPr fontId="1" type="noConversion"/>
  </si>
  <si>
    <t>反時線01</t>
    <phoneticPr fontId="1" type="noConversion"/>
  </si>
  <si>
    <t>反時線02</t>
    <phoneticPr fontId="1" type="noConversion"/>
  </si>
  <si>
    <t>反時線03</t>
    <phoneticPr fontId="1" type="noConversion"/>
  </si>
  <si>
    <t>反時線04</t>
    <phoneticPr fontId="1" type="noConversion"/>
  </si>
  <si>
    <t>反時線05</t>
    <phoneticPr fontId="1" type="noConversion"/>
  </si>
  <si>
    <t>反時線06</t>
    <phoneticPr fontId="1" type="noConversion"/>
  </si>
  <si>
    <t>電譯06</t>
    <phoneticPr fontId="1" type="noConversion"/>
  </si>
  <si>
    <t>電譯05</t>
    <phoneticPr fontId="1" type="noConversion"/>
  </si>
  <si>
    <t>電譯04</t>
    <phoneticPr fontId="1" type="noConversion"/>
  </si>
  <si>
    <t>電譯03</t>
    <phoneticPr fontId="1" type="noConversion"/>
  </si>
  <si>
    <t>電譯02</t>
    <phoneticPr fontId="1" type="noConversion"/>
  </si>
  <si>
    <t>電譯06</t>
    <phoneticPr fontId="1" type="noConversion"/>
  </si>
  <si>
    <t>40T</t>
  </si>
  <si>
    <t>65T</t>
  </si>
  <si>
    <t>DS=LBS</t>
  </si>
  <si>
    <t>NX40A</t>
  </si>
  <si>
    <t>PF65E</t>
  </si>
  <si>
    <t>PF125E</t>
  </si>
  <si>
    <t>NX40A(新竹廠區)</t>
  </si>
  <si>
    <t>PF65E(新竹廠區)</t>
  </si>
  <si>
    <t>I(Co)</t>
    <phoneticPr fontId="1" type="noConversion"/>
  </si>
  <si>
    <t>I(Lco)</t>
    <phoneticPr fontId="1" type="noConversion"/>
  </si>
  <si>
    <t>PF125E(新竹廠區)</t>
    <phoneticPr fontId="1" type="noConversion"/>
  </si>
  <si>
    <t>二次瞬跳電流標置IIT＝</t>
    <phoneticPr fontId="1" type="noConversion"/>
  </si>
  <si>
    <t>Δ—Ｙ中性點接地 (x 0.58)</t>
    <phoneticPr fontId="23" type="noConversion"/>
  </si>
  <si>
    <t>Δ—Ｙ非接地     (x 0.87)</t>
    <phoneticPr fontId="1" type="noConversion"/>
  </si>
  <si>
    <t xml:space="preserve">Δ—Δ或Ｙ—Ｙ   (x 1.0) </t>
    <phoneticPr fontId="23" type="noConversion"/>
  </si>
  <si>
    <t>0s(Inst.),50ms～300s</t>
    <phoneticPr fontId="1" type="noConversion"/>
  </si>
  <si>
    <t>0s(Inst.),50ms~300s</t>
    <phoneticPr fontId="1" type="noConversion"/>
  </si>
  <si>
    <r>
      <t>一次側最小動作電流：I</t>
    </r>
    <r>
      <rPr>
        <vertAlign val="subscript"/>
        <sz val="12"/>
        <color indexed="9"/>
        <rFont val="標楷體"/>
        <family val="4"/>
      </rPr>
      <t>0</t>
    </r>
    <r>
      <rPr>
        <sz val="12"/>
        <color indexed="9"/>
        <rFont val="標楷體"/>
        <family val="4"/>
      </rPr>
      <t>min＝</t>
    </r>
  </si>
  <si>
    <r>
      <t>120%Is</t>
    </r>
    <r>
      <rPr>
        <vertAlign val="subscript"/>
        <sz val="12"/>
        <color indexed="9"/>
        <rFont val="標楷體"/>
        <family val="4"/>
      </rPr>
      <t>0</t>
    </r>
    <phoneticPr fontId="1" type="noConversion"/>
  </si>
  <si>
    <r>
      <t xml:space="preserve"> I</t>
    </r>
    <r>
      <rPr>
        <vertAlign val="subscript"/>
        <sz val="12"/>
        <color indexed="9"/>
        <rFont val="標楷體"/>
        <family val="4"/>
      </rPr>
      <t>0</t>
    </r>
    <r>
      <rPr>
        <sz val="12"/>
        <color indexed="9"/>
        <rFont val="標楷體"/>
        <family val="4"/>
      </rPr>
      <t>min＝</t>
    </r>
    <phoneticPr fontId="1" type="noConversion"/>
  </si>
  <si>
    <r>
      <t>1.2 x Is</t>
    </r>
    <r>
      <rPr>
        <vertAlign val="subscript"/>
        <sz val="12"/>
        <color indexed="9"/>
        <rFont val="標楷體"/>
        <family val="4"/>
      </rPr>
      <t>0</t>
    </r>
    <phoneticPr fontId="1" type="noConversion"/>
  </si>
  <si>
    <t>t&gt;&gt;</t>
    <phoneticPr fontId="1" type="noConversion"/>
  </si>
  <si>
    <r>
      <t>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</t>
    </r>
    <phoneticPr fontId="1" type="noConversion"/>
  </si>
  <si>
    <r>
      <t>t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</t>
    </r>
    <phoneticPr fontId="1" type="noConversion"/>
  </si>
  <si>
    <t>6kvC1变母联</t>
    <phoneticPr fontId="1" type="noConversion"/>
  </si>
  <si>
    <r>
      <t>6kvC1</t>
    </r>
    <r>
      <rPr>
        <sz val="12"/>
        <color indexed="17"/>
        <rFont val="宋体"/>
        <family val="3"/>
        <charset val="134"/>
      </rPr>
      <t>变进</t>
    </r>
    <r>
      <rPr>
        <sz val="12"/>
        <color indexed="17"/>
        <rFont val="宋体"/>
        <family val="3"/>
        <charset val="134"/>
      </rPr>
      <t>线</t>
    </r>
    <phoneticPr fontId="1" type="noConversion"/>
  </si>
  <si>
    <r>
      <t>20Kv</t>
    </r>
    <r>
      <rPr>
        <sz val="12"/>
        <color indexed="17"/>
        <rFont val="宋体"/>
        <family val="3"/>
        <charset val="134"/>
      </rPr>
      <t>馈线</t>
    </r>
    <phoneticPr fontId="1" type="noConversion"/>
  </si>
  <si>
    <r>
      <t>20Kv</t>
    </r>
    <r>
      <rPr>
        <sz val="12"/>
        <color indexed="17"/>
        <rFont val="宋体"/>
        <family val="3"/>
        <charset val="134"/>
      </rPr>
      <t>母联</t>
    </r>
    <phoneticPr fontId="1" type="noConversion"/>
  </si>
  <si>
    <r>
      <t>20Kv</t>
    </r>
    <r>
      <rPr>
        <sz val="12"/>
        <color indexed="17"/>
        <rFont val="宋体"/>
        <family val="3"/>
        <charset val="134"/>
      </rPr>
      <t>进线</t>
    </r>
    <phoneticPr fontId="1" type="noConversion"/>
  </si>
  <si>
    <r>
      <rPr>
        <sz val="20"/>
        <rFont val="宋体"/>
        <family val="3"/>
        <charset val="134"/>
      </rPr>
      <t>工</t>
    </r>
    <r>
      <rPr>
        <sz val="20"/>
        <rFont val="標楷體"/>
        <family val="4"/>
      </rPr>
      <t xml:space="preserve"> </t>
    </r>
    <r>
      <rPr>
        <sz val="20"/>
        <rFont val="宋体"/>
        <family val="3"/>
        <charset val="134"/>
      </rPr>
      <t>程</t>
    </r>
    <r>
      <rPr>
        <sz val="20"/>
        <rFont val="標楷體"/>
        <family val="4"/>
      </rPr>
      <t xml:space="preserve"> </t>
    </r>
    <r>
      <rPr>
        <sz val="20"/>
        <rFont val="宋体"/>
        <family val="3"/>
        <charset val="134"/>
      </rPr>
      <t>名</t>
    </r>
    <r>
      <rPr>
        <sz val="20"/>
        <rFont val="標楷體"/>
        <family val="4"/>
      </rPr>
      <t xml:space="preserve"> </t>
    </r>
    <r>
      <rPr>
        <sz val="20"/>
        <rFont val="宋体"/>
        <family val="3"/>
        <charset val="134"/>
      </rPr>
      <t>称</t>
    </r>
    <r>
      <rPr>
        <sz val="20"/>
        <rFont val="標楷體"/>
        <family val="4"/>
      </rPr>
      <t>:</t>
    </r>
    <phoneticPr fontId="1" type="noConversion"/>
  </si>
  <si>
    <t>曲线名称</t>
    <phoneticPr fontId="1" type="noConversion"/>
  </si>
  <si>
    <t>型号</t>
    <phoneticPr fontId="1" type="noConversion"/>
  </si>
  <si>
    <t>预定负载</t>
    <phoneticPr fontId="1" type="noConversion"/>
  </si>
  <si>
    <r>
      <t>CO</t>
    </r>
    <r>
      <rPr>
        <b/>
        <sz val="12"/>
        <rFont val="宋体"/>
        <family val="3"/>
        <charset val="134"/>
      </rPr>
      <t>曲线</t>
    </r>
    <phoneticPr fontId="1" type="noConversion"/>
  </si>
  <si>
    <r>
      <t>LCO</t>
    </r>
    <r>
      <rPr>
        <b/>
        <sz val="12"/>
        <rFont val="宋体"/>
        <family val="3"/>
        <charset val="134"/>
      </rPr>
      <t>曲线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</si>
  <si>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1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</si>
  <si>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2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</si>
  <si>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3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</si>
  <si>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4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</si>
  <si>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5</t>
    </r>
    <phoneticPr fontId="1" type="noConversion"/>
  </si>
  <si>
    <r>
      <rPr>
        <sz val="14"/>
        <color indexed="10"/>
        <rFont val="宋体"/>
        <family val="3"/>
        <charset val="134"/>
      </rPr>
      <t>设备</t>
    </r>
    <r>
      <rPr>
        <sz val="14"/>
        <color indexed="10"/>
        <rFont val="標楷體"/>
        <family val="4"/>
      </rPr>
      <t>6</t>
    </r>
    <phoneticPr fontId="1" type="noConversion"/>
  </si>
  <si>
    <t>曲线名称</t>
    <phoneticPr fontId="1" type="noConversion"/>
  </si>
  <si>
    <t>预定负载</t>
    <phoneticPr fontId="1" type="noConversion"/>
  </si>
  <si>
    <r>
      <t>Vb(</t>
    </r>
    <r>
      <rPr>
        <sz val="12"/>
        <rFont val="宋体"/>
        <family val="3"/>
        <charset val="134"/>
      </rPr>
      <t>基准</t>
    </r>
    <r>
      <rPr>
        <sz val="12"/>
        <rFont val="標楷體"/>
        <family val="4"/>
      </rPr>
      <t>)</t>
    </r>
    <phoneticPr fontId="1" type="noConversion"/>
  </si>
  <si>
    <r>
      <t>Vt(</t>
    </r>
    <r>
      <rPr>
        <sz val="12"/>
        <rFont val="宋体"/>
        <family val="3"/>
        <charset val="134"/>
      </rPr>
      <t>换算</t>
    </r>
    <r>
      <rPr>
        <sz val="12"/>
        <rFont val="標楷體"/>
        <family val="4"/>
      </rPr>
      <t>)</t>
    </r>
    <phoneticPr fontId="1" type="noConversion"/>
  </si>
  <si>
    <t>一次侧</t>
    <phoneticPr fontId="1" type="noConversion"/>
  </si>
  <si>
    <t>二次侧</t>
    <phoneticPr fontId="1" type="noConversion"/>
  </si>
  <si>
    <r>
      <t>CO</t>
    </r>
    <r>
      <rPr>
        <sz val="12"/>
        <rFont val="宋体"/>
        <family val="3"/>
        <charset val="134"/>
      </rPr>
      <t>曲线</t>
    </r>
    <phoneticPr fontId="1" type="noConversion"/>
  </si>
  <si>
    <r>
      <t>LCO</t>
    </r>
    <r>
      <rPr>
        <sz val="12"/>
        <rFont val="宋体"/>
        <family val="3"/>
        <charset val="134"/>
      </rPr>
      <t>曲线</t>
    </r>
    <phoneticPr fontId="1" type="noConversion"/>
  </si>
  <si>
    <t>是，LCO绘图</t>
  </si>
  <si>
    <t>是，LCO绘图</t>
    <phoneticPr fontId="1" type="noConversion"/>
  </si>
  <si>
    <t>否，LCO不绘图</t>
    <phoneticPr fontId="1" type="noConversion"/>
  </si>
  <si>
    <t>LCO是否绘图？</t>
    <phoneticPr fontId="1" type="noConversion"/>
  </si>
  <si>
    <t>请输入品牌型号</t>
    <phoneticPr fontId="1" type="noConversion"/>
  </si>
  <si>
    <t>SEPAM S20</t>
  </si>
  <si>
    <t>SEPAM S20</t>
    <phoneticPr fontId="1" type="noConversion"/>
  </si>
  <si>
    <t>SEPAM S40</t>
  </si>
  <si>
    <t>SEPAM S40</t>
    <phoneticPr fontId="1" type="noConversion"/>
  </si>
  <si>
    <t>SEPAM S80</t>
  </si>
  <si>
    <t>SEPAM S80</t>
    <phoneticPr fontId="1" type="noConversion"/>
  </si>
  <si>
    <t>SEPAM G40</t>
  </si>
  <si>
    <t>SEPAM G40</t>
    <phoneticPr fontId="1" type="noConversion"/>
  </si>
  <si>
    <t>SEPAM T87</t>
  </si>
  <si>
    <t>SEPAM T87</t>
    <phoneticPr fontId="1" type="noConversion"/>
  </si>
  <si>
    <t>SEPAM M87</t>
  </si>
  <si>
    <t>SEPAM M87</t>
    <phoneticPr fontId="1" type="noConversion"/>
  </si>
  <si>
    <t>预览前请先点一下这里；预览前请先点一下这里；预览前请先点一下这里；预览前请先点一下这里；</t>
    <phoneticPr fontId="1" type="noConversion"/>
  </si>
  <si>
    <t>I&gt;&gt;</t>
    <phoneticPr fontId="1" type="noConversion"/>
  </si>
  <si>
    <r>
      <t>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</t>
    </r>
    <phoneticPr fontId="1" type="noConversion"/>
  </si>
  <si>
    <r>
      <t>I</t>
    </r>
    <r>
      <rPr>
        <vertAlign val="subscript"/>
        <sz val="12"/>
        <rFont val="標楷體"/>
        <family val="4"/>
      </rPr>
      <t>0</t>
    </r>
    <r>
      <rPr>
        <sz val="12"/>
        <rFont val="標楷體"/>
        <family val="4"/>
      </rPr>
      <t>&gt;</t>
    </r>
    <r>
      <rPr>
        <sz val="12"/>
        <rFont val="標楷體"/>
        <family val="4"/>
      </rPr>
      <t>&gt;</t>
    </r>
    <phoneticPr fontId="1" type="noConversion"/>
  </si>
  <si>
    <r>
      <t>6kvC1</t>
    </r>
    <r>
      <rPr>
        <sz val="12"/>
        <color indexed="17"/>
        <rFont val="宋体"/>
        <family val="3"/>
        <charset val="134"/>
      </rPr>
      <t>变馈线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</si>
</sst>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_ "/>
    <numFmt numFmtId="177" formatCode="0.0_ "/>
    <numFmt numFmtId="178" formatCode="0.00_);[Red]\(0.00\)"/>
    <numFmt numFmtId="179" formatCode="0.000_);[Red]\(0.000\)"/>
    <numFmt numFmtId="180" formatCode="0_);[Red]\(0\)"/>
  </numFmts>
  <fonts count="38"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4"/>
      <color indexed="10"/>
      <name val="標楷體"/>
      <family val="4"/>
    </font>
    <font>
      <sz val="12"/>
      <name val="標楷體"/>
      <family val="4"/>
    </font>
    <font>
      <b/>
      <sz val="14"/>
      <name val="標楷體"/>
      <family val="4"/>
    </font>
    <font>
      <b/>
      <sz val="12"/>
      <color indexed="12"/>
      <name val="標楷體"/>
      <family val="4"/>
    </font>
    <font>
      <sz val="12"/>
      <color indexed="9"/>
      <name val="標楷體"/>
      <family val="4"/>
    </font>
    <font>
      <sz val="10"/>
      <name val="標楷體"/>
      <family val="4"/>
    </font>
    <font>
      <sz val="12"/>
      <color indexed="10"/>
      <name val="標楷體"/>
      <family val="4"/>
    </font>
    <font>
      <sz val="9"/>
      <name val="標楷體"/>
      <family val="4"/>
    </font>
    <font>
      <b/>
      <sz val="12"/>
      <color indexed="10"/>
      <name val="標楷體"/>
      <family val="4"/>
    </font>
    <font>
      <sz val="12"/>
      <color indexed="17"/>
      <name val="標楷體"/>
      <family val="4"/>
    </font>
    <font>
      <sz val="10"/>
      <color indexed="10"/>
      <name val="標楷體"/>
      <family val="4"/>
    </font>
    <font>
      <vertAlign val="subscript"/>
      <sz val="12"/>
      <name val="標楷體"/>
      <family val="4"/>
    </font>
    <font>
      <b/>
      <sz val="16"/>
      <color indexed="10"/>
      <name val="標楷體"/>
      <family val="4"/>
    </font>
    <font>
      <b/>
      <sz val="16"/>
      <name val="標楷體"/>
      <family val="4"/>
    </font>
    <font>
      <sz val="20"/>
      <name val="標楷體"/>
      <family val="4"/>
    </font>
    <font>
      <b/>
      <sz val="12"/>
      <name val="標楷體"/>
      <family val="4"/>
    </font>
    <font>
      <b/>
      <vertAlign val="subscript"/>
      <sz val="12"/>
      <name val="標楷體"/>
      <family val="4"/>
    </font>
    <font>
      <sz val="12"/>
      <color indexed="12"/>
      <name val="標楷體"/>
      <family val="4"/>
    </font>
    <font>
      <sz val="14"/>
      <color indexed="10"/>
      <name val="標楷體"/>
      <family val="4"/>
    </font>
    <font>
      <sz val="12"/>
      <color indexed="12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9"/>
      <name val="細明體"/>
      <family val="3"/>
      <charset val="136"/>
    </font>
    <font>
      <b/>
      <sz val="20"/>
      <color indexed="17"/>
      <name val="標楷體"/>
      <family val="4"/>
    </font>
    <font>
      <vertAlign val="subscript"/>
      <sz val="12"/>
      <color indexed="9"/>
      <name val="標楷體"/>
      <family val="4"/>
    </font>
    <font>
      <sz val="12"/>
      <color indexed="17"/>
      <name val="Times New Roman"/>
      <family val="1"/>
    </font>
    <font>
      <sz val="12"/>
      <color indexed="17"/>
      <name val="宋体"/>
      <family val="3"/>
      <charset val="134"/>
    </font>
    <font>
      <sz val="12"/>
      <color indexed="17"/>
      <name val="標楷體"/>
      <family val="4"/>
    </font>
    <font>
      <sz val="12"/>
      <name val="標楷體"/>
      <family val="4"/>
    </font>
    <font>
      <sz val="12"/>
      <color indexed="10"/>
      <name val="標楷體"/>
      <family val="4"/>
    </font>
    <font>
      <sz val="12"/>
      <color indexed="12"/>
      <name val="標楷體"/>
      <family val="4"/>
    </font>
    <font>
      <sz val="20"/>
      <name val="宋体"/>
      <family val="3"/>
      <charset val="134"/>
    </font>
    <font>
      <b/>
      <sz val="12"/>
      <name val="宋体"/>
      <family val="3"/>
      <charset val="134"/>
    </font>
    <font>
      <sz val="14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10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18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18"/>
      </left>
      <right/>
      <top/>
      <bottom/>
      <diagonal/>
    </border>
    <border>
      <left style="medium">
        <color indexed="18"/>
      </left>
      <right/>
      <top/>
      <bottom style="medium">
        <color indexed="18"/>
      </bottom>
      <diagonal/>
    </border>
    <border>
      <left/>
      <right/>
      <top/>
      <bottom style="medium">
        <color indexed="18"/>
      </bottom>
      <diagonal/>
    </border>
    <border>
      <left/>
      <right style="medium">
        <color indexed="18"/>
      </right>
      <top/>
      <bottom style="medium">
        <color indexed="1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8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8"/>
      </right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9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 applyProtection="1">
      <alignment vertical="center"/>
      <protection hidden="1"/>
    </xf>
    <xf numFmtId="0" fontId="3" fillId="0" borderId="0" xfId="0" applyFont="1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0" fontId="3" fillId="0" borderId="1" xfId="0" applyFont="1" applyBorder="1" applyProtection="1">
      <alignment vertical="center"/>
      <protection hidden="1"/>
    </xf>
    <xf numFmtId="0" fontId="3" fillId="0" borderId="2" xfId="0" applyFont="1" applyBorder="1" applyProtection="1">
      <alignment vertical="center"/>
      <protection hidden="1"/>
    </xf>
    <xf numFmtId="0" fontId="3" fillId="0" borderId="3" xfId="0" applyFont="1" applyBorder="1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Protection="1">
      <alignment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6" fillId="0" borderId="0" xfId="0" applyFont="1" applyProtection="1">
      <alignment vertical="center"/>
      <protection hidden="1"/>
    </xf>
    <xf numFmtId="0" fontId="3" fillId="0" borderId="4" xfId="0" applyFont="1" applyBorder="1" applyAlignment="1" applyProtection="1">
      <alignment horizontal="left" vertical="center"/>
      <protection hidden="1"/>
    </xf>
    <xf numFmtId="176" fontId="3" fillId="0" borderId="0" xfId="0" applyNumberFormat="1" applyFont="1" applyAlignment="1" applyProtection="1">
      <alignment horizontal="left" vertical="center"/>
      <protection hidden="1"/>
    </xf>
    <xf numFmtId="0" fontId="3" fillId="0" borderId="0" xfId="0" applyFont="1" applyAlignment="1">
      <alignment horizontal="center" vertical="center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3" fillId="0" borderId="0" xfId="0" applyFont="1">
      <alignment vertical="center"/>
    </xf>
    <xf numFmtId="0" fontId="7" fillId="0" borderId="5" xfId="0" applyFont="1" applyBorder="1" applyProtection="1">
      <alignment vertical="center"/>
      <protection hidden="1"/>
    </xf>
    <xf numFmtId="0" fontId="7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177" fontId="7" fillId="0" borderId="6" xfId="0" applyNumberFormat="1" applyFont="1" applyBorder="1" applyAlignment="1" applyProtection="1">
      <alignment horizontal="center" vertical="center"/>
      <protection hidden="1"/>
    </xf>
    <xf numFmtId="177" fontId="3" fillId="0" borderId="0" xfId="0" applyNumberFormat="1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7" xfId="0" applyFont="1" applyBorder="1" applyProtection="1">
      <alignment vertical="center"/>
      <protection hidden="1"/>
    </xf>
    <xf numFmtId="0" fontId="7" fillId="0" borderId="8" xfId="0" applyFont="1" applyBorder="1" applyProtection="1">
      <alignment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7" fillId="0" borderId="9" xfId="0" applyFont="1" applyBorder="1" applyProtection="1">
      <alignment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176" fontId="3" fillId="0" borderId="0" xfId="0" applyNumberFormat="1" applyFont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Fill="1" applyBorder="1" applyAlignment="1" applyProtection="1">
      <alignment horizontal="center" vertical="center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3" fillId="0" borderId="13" xfId="0" applyFont="1" applyBorder="1" applyProtection="1">
      <alignment vertical="center"/>
      <protection hidden="1"/>
    </xf>
    <xf numFmtId="0" fontId="3" fillId="0" borderId="5" xfId="0" applyFont="1" applyBorder="1" applyProtection="1">
      <alignment vertical="center"/>
      <protection hidden="1"/>
    </xf>
    <xf numFmtId="177" fontId="3" fillId="0" borderId="0" xfId="0" applyNumberFormat="1" applyFont="1" applyAlignment="1">
      <alignment horizontal="center" vertical="center"/>
    </xf>
    <xf numFmtId="0" fontId="3" fillId="0" borderId="7" xfId="0" applyFont="1" applyBorder="1" applyProtection="1">
      <alignment vertical="center"/>
      <protection hidden="1"/>
    </xf>
    <xf numFmtId="0" fontId="3" fillId="0" borderId="8" xfId="0" applyFont="1" applyBorder="1" applyProtection="1">
      <alignment vertical="center"/>
      <protection hidden="1"/>
    </xf>
    <xf numFmtId="0" fontId="3" fillId="0" borderId="9" xfId="0" applyFont="1" applyBorder="1" applyProtection="1">
      <alignment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176" fontId="3" fillId="0" borderId="0" xfId="0" applyNumberFormat="1" applyFont="1" applyAlignment="1">
      <alignment horizontal="center" vertical="center"/>
    </xf>
    <xf numFmtId="0" fontId="3" fillId="0" borderId="14" xfId="0" applyFont="1" applyBorder="1" applyAlignment="1" applyProtection="1">
      <alignment horizontal="center" vertical="center"/>
      <protection hidden="1"/>
    </xf>
    <xf numFmtId="0" fontId="3" fillId="0" borderId="15" xfId="0" applyFont="1" applyBorder="1">
      <alignment vertical="center"/>
    </xf>
    <xf numFmtId="0" fontId="3" fillId="3" borderId="16" xfId="0" applyFont="1" applyFill="1" applyBorder="1" applyAlignment="1" applyProtection="1">
      <alignment horizontal="center" vertical="center"/>
      <protection hidden="1"/>
    </xf>
    <xf numFmtId="0" fontId="22" fillId="0" borderId="0" xfId="0" applyFont="1">
      <alignment vertical="center"/>
    </xf>
    <xf numFmtId="0" fontId="22" fillId="0" borderId="0" xfId="0" applyFont="1" applyProtection="1">
      <alignment vertical="center"/>
      <protection hidden="1"/>
    </xf>
    <xf numFmtId="0" fontId="21" fillId="3" borderId="8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10" xfId="0" applyFont="1" applyFill="1" applyBorder="1" applyAlignment="1" applyProtection="1">
      <alignment horizontal="center" vertical="center"/>
      <protection hidden="1"/>
    </xf>
    <xf numFmtId="0" fontId="3" fillId="0" borderId="13" xfId="0" applyFont="1" applyFill="1" applyBorder="1" applyAlignment="1" applyProtection="1">
      <alignment horizontal="center" vertical="center"/>
      <protection hidden="1"/>
    </xf>
    <xf numFmtId="178" fontId="3" fillId="0" borderId="0" xfId="0" applyNumberFormat="1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177" fontId="7" fillId="0" borderId="21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Border="1" applyProtection="1">
      <alignment vertical="center"/>
      <protection hidden="1"/>
    </xf>
    <xf numFmtId="0" fontId="3" fillId="0" borderId="22" xfId="0" applyFont="1" applyBorder="1" applyProtection="1">
      <alignment vertical="center"/>
      <protection hidden="1"/>
    </xf>
    <xf numFmtId="177" fontId="3" fillId="0" borderId="21" xfId="0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4" xfId="0" applyFont="1" applyBorder="1" applyProtection="1">
      <alignment vertic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28" fillId="4" borderId="23" xfId="0" applyFont="1" applyFill="1" applyBorder="1" applyAlignment="1" applyProtection="1">
      <alignment horizontal="center" vertical="center"/>
      <protection locked="0"/>
    </xf>
    <xf numFmtId="0" fontId="28" fillId="5" borderId="24" xfId="0" applyFont="1" applyFill="1" applyBorder="1" applyAlignment="1" applyProtection="1">
      <alignment horizontal="center" vertical="center"/>
      <protection locked="0"/>
    </xf>
    <xf numFmtId="0" fontId="28" fillId="4" borderId="25" xfId="0" applyFont="1" applyFill="1" applyBorder="1" applyAlignment="1" applyProtection="1">
      <alignment horizontal="center" vertical="center"/>
      <protection locked="0"/>
    </xf>
    <xf numFmtId="0" fontId="29" fillId="3" borderId="26" xfId="0" applyFont="1" applyFill="1" applyBorder="1" applyAlignment="1" applyProtection="1">
      <alignment horizontal="center" vertical="center"/>
      <protection hidden="1"/>
    </xf>
    <xf numFmtId="0" fontId="28" fillId="5" borderId="23" xfId="0" applyFont="1" applyFill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hidden="1"/>
    </xf>
    <xf numFmtId="0" fontId="29" fillId="3" borderId="8" xfId="0" applyFont="1" applyFill="1" applyBorder="1" applyAlignment="1" applyProtection="1">
      <alignment horizontal="center" vertical="center"/>
      <protection hidden="1"/>
    </xf>
    <xf numFmtId="0" fontId="28" fillId="4" borderId="27" xfId="0" applyFont="1" applyFill="1" applyBorder="1" applyAlignment="1" applyProtection="1">
      <alignment horizontal="center" vertical="center"/>
      <protection locked="0"/>
    </xf>
    <xf numFmtId="0" fontId="28" fillId="4" borderId="28" xfId="0" applyFont="1" applyFill="1" applyBorder="1" applyAlignment="1" applyProtection="1">
      <alignment horizontal="center" vertical="center"/>
      <protection locked="0"/>
    </xf>
    <xf numFmtId="0" fontId="28" fillId="4" borderId="24" xfId="0" applyFont="1" applyFill="1" applyBorder="1" applyAlignment="1" applyProtection="1">
      <alignment horizontal="center" vertical="center"/>
      <protection locked="0"/>
    </xf>
    <xf numFmtId="0" fontId="0" fillId="0" borderId="5" xfId="0" applyBorder="1">
      <alignment vertical="center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9" fillId="0" borderId="0" xfId="0" applyFont="1" applyFill="1" applyBorder="1" applyAlignment="1" applyProtection="1">
      <alignment vertical="center" textRotation="255"/>
      <protection hidden="1"/>
    </xf>
    <xf numFmtId="0" fontId="19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>
      <alignment vertical="center"/>
    </xf>
    <xf numFmtId="0" fontId="35" fillId="3" borderId="16" xfId="0" applyFont="1" applyFill="1" applyBorder="1" applyProtection="1">
      <alignment vertical="center"/>
      <protection hidden="1"/>
    </xf>
    <xf numFmtId="0" fontId="35" fillId="3" borderId="16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>
      <alignment horizontal="center" vertical="center"/>
    </xf>
    <xf numFmtId="0" fontId="35" fillId="3" borderId="29" xfId="0" applyFont="1" applyFill="1" applyBorder="1" applyProtection="1">
      <alignment vertical="center"/>
      <protection hidden="1"/>
    </xf>
    <xf numFmtId="0" fontId="3" fillId="0" borderId="2" xfId="0" applyFont="1" applyBorder="1" applyAlignment="1">
      <alignment horizontal="center" vertical="center"/>
    </xf>
    <xf numFmtId="0" fontId="35" fillId="3" borderId="3" xfId="0" applyFont="1" applyFill="1" applyBorder="1" applyAlignment="1" applyProtection="1">
      <alignment horizontal="center" vertical="center"/>
      <protection hidden="1"/>
    </xf>
    <xf numFmtId="0" fontId="26" fillId="4" borderId="30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29" fillId="3" borderId="0" xfId="0" applyFont="1" applyFill="1" applyBorder="1" applyAlignment="1" applyProtection="1">
      <alignment horizontal="center" vertical="center"/>
      <protection hidden="1"/>
    </xf>
    <xf numFmtId="0" fontId="29" fillId="3" borderId="0" xfId="0" applyFont="1" applyFill="1" applyBorder="1" applyAlignment="1" applyProtection="1">
      <alignment horizontal="center" vertical="center" wrapText="1"/>
      <protection hidden="1"/>
    </xf>
    <xf numFmtId="0" fontId="28" fillId="4" borderId="30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27" fillId="4" borderId="30" xfId="0" applyFont="1" applyFill="1" applyBorder="1" applyAlignment="1" applyProtection="1">
      <alignment horizontal="center" vertical="center"/>
      <protection locked="0"/>
    </xf>
    <xf numFmtId="0" fontId="26" fillId="5" borderId="30" xfId="0" applyFont="1" applyFill="1" applyBorder="1" applyAlignment="1" applyProtection="1">
      <alignment horizontal="center" vertical="center"/>
      <protection locked="0"/>
    </xf>
    <xf numFmtId="0" fontId="28" fillId="5" borderId="30" xfId="0" applyFont="1" applyFill="1" applyBorder="1" applyAlignment="1" applyProtection="1">
      <alignment horizontal="center" vertical="center"/>
      <protection locked="0"/>
    </xf>
    <xf numFmtId="0" fontId="22" fillId="6" borderId="24" xfId="0" applyFont="1" applyFill="1" applyBorder="1">
      <alignment vertical="center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3" fillId="3" borderId="8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>
      <alignment horizontal="center" vertical="center"/>
    </xf>
    <xf numFmtId="177" fontId="3" fillId="0" borderId="33" xfId="0" applyNumberFormat="1" applyFont="1" applyBorder="1" applyAlignment="1" applyProtection="1">
      <alignment horizontal="center" vertical="center"/>
      <protection hidden="1"/>
    </xf>
    <xf numFmtId="177" fontId="3" fillId="0" borderId="34" xfId="0" applyNumberFormat="1" applyFont="1" applyBorder="1" applyAlignment="1" applyProtection="1">
      <alignment horizontal="center" vertical="center"/>
      <protection hidden="1"/>
    </xf>
    <xf numFmtId="0" fontId="3" fillId="0" borderId="35" xfId="0" applyFont="1" applyBorder="1" applyAlignment="1" applyProtection="1">
      <alignment horizontal="center" vertical="center"/>
      <protection hidden="1"/>
    </xf>
    <xf numFmtId="0" fontId="3" fillId="0" borderId="36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37" xfId="0" applyFont="1" applyBorder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39" xfId="0" applyFont="1" applyBorder="1" applyAlignment="1" applyProtection="1">
      <alignment horizontal="center" vertical="center"/>
      <protection hidden="1"/>
    </xf>
    <xf numFmtId="0" fontId="3" fillId="0" borderId="40" xfId="0" applyFont="1" applyBorder="1" applyAlignment="1" applyProtection="1">
      <alignment horizontal="center" vertical="center"/>
      <protection hidden="1"/>
    </xf>
    <xf numFmtId="0" fontId="3" fillId="0" borderId="33" xfId="0" applyFont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0" borderId="32" xfId="0" applyFont="1" applyBorder="1" applyAlignment="1" applyProtection="1">
      <alignment horizontal="right" vertical="center"/>
      <protection hidden="1"/>
    </xf>
    <xf numFmtId="0" fontId="8" fillId="0" borderId="33" xfId="0" applyFont="1" applyBorder="1" applyAlignment="1" applyProtection="1">
      <alignment horizontal="center" vertical="center"/>
      <protection hidden="1"/>
    </xf>
    <xf numFmtId="0" fontId="8" fillId="0" borderId="34" xfId="0" applyFont="1" applyBorder="1" applyAlignment="1" applyProtection="1">
      <alignment horizontal="center" vertical="center"/>
      <protection hidden="1"/>
    </xf>
    <xf numFmtId="0" fontId="7" fillId="0" borderId="35" xfId="0" applyFont="1" applyBorder="1" applyAlignment="1" applyProtection="1">
      <alignment horizontal="center" vertical="center"/>
      <protection hidden="1"/>
    </xf>
    <xf numFmtId="0" fontId="7" fillId="0" borderId="36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3" fillId="0" borderId="45" xfId="0" applyFont="1" applyBorder="1" applyAlignment="1" applyProtection="1">
      <alignment horizontal="center" vertical="center"/>
      <protection hidden="1"/>
    </xf>
    <xf numFmtId="0" fontId="3" fillId="0" borderId="46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horizontal="center" vertical="center"/>
      <protection hidden="1"/>
    </xf>
    <xf numFmtId="0" fontId="4" fillId="0" borderId="41" xfId="0" applyFont="1" applyBorder="1" applyProtection="1">
      <alignment vertical="center"/>
      <protection hidden="1"/>
    </xf>
    <xf numFmtId="0" fontId="12" fillId="0" borderId="42" xfId="0" applyFont="1" applyBorder="1" applyAlignment="1" applyProtection="1">
      <alignment horizontal="center" vertical="center"/>
      <protection hidden="1"/>
    </xf>
    <xf numFmtId="0" fontId="12" fillId="0" borderId="43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44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180" fontId="3" fillId="0" borderId="47" xfId="0" applyNumberFormat="1" applyFont="1" applyBorder="1" applyAlignment="1" applyProtection="1">
      <alignment horizontal="center" vertical="center"/>
      <protection hidden="1"/>
    </xf>
    <xf numFmtId="180" fontId="3" fillId="0" borderId="48" xfId="0" applyNumberFormat="1" applyFont="1" applyBorder="1" applyAlignment="1" applyProtection="1">
      <alignment horizontal="center" vertical="center"/>
      <protection hidden="1"/>
    </xf>
    <xf numFmtId="180" fontId="3" fillId="0" borderId="33" xfId="0" applyNumberFormat="1" applyFont="1" applyBorder="1" applyAlignment="1" applyProtection="1">
      <alignment horizontal="center" vertical="center"/>
      <protection hidden="1"/>
    </xf>
    <xf numFmtId="180" fontId="3" fillId="0" borderId="34" xfId="0" applyNumberFormat="1" applyFont="1" applyBorder="1" applyAlignment="1" applyProtection="1">
      <alignment horizontal="center" vertical="center"/>
      <protection hidden="1"/>
    </xf>
    <xf numFmtId="178" fontId="3" fillId="0" borderId="35" xfId="0" applyNumberFormat="1" applyFont="1" applyBorder="1" applyAlignment="1" applyProtection="1">
      <alignment horizontal="center" vertical="center"/>
      <protection hidden="1"/>
    </xf>
    <xf numFmtId="178" fontId="3" fillId="0" borderId="26" xfId="0" applyNumberFormat="1" applyFont="1" applyBorder="1" applyAlignment="1" applyProtection="1">
      <alignment horizontal="center" vertical="center"/>
      <protection hidden="1"/>
    </xf>
    <xf numFmtId="178" fontId="3" fillId="0" borderId="36" xfId="0" applyNumberFormat="1" applyFont="1" applyBorder="1" applyAlignment="1" applyProtection="1">
      <alignment horizontal="center" vertical="center"/>
      <protection hidden="1"/>
    </xf>
    <xf numFmtId="180" fontId="3" fillId="0" borderId="37" xfId="0" applyNumberFormat="1" applyFont="1" applyBorder="1" applyAlignment="1" applyProtection="1">
      <alignment horizontal="center" vertical="center"/>
      <protection hidden="1"/>
    </xf>
    <xf numFmtId="180" fontId="3" fillId="0" borderId="27" xfId="0" applyNumberFormat="1" applyFont="1" applyBorder="1" applyAlignment="1" applyProtection="1">
      <alignment horizontal="center" vertical="center"/>
      <protection hidden="1"/>
    </xf>
    <xf numFmtId="180" fontId="3" fillId="0" borderId="38" xfId="0" applyNumberFormat="1" applyFont="1" applyBorder="1" applyAlignment="1" applyProtection="1">
      <alignment horizontal="center" vertical="center"/>
      <protection hidden="1"/>
    </xf>
    <xf numFmtId="179" fontId="3" fillId="0" borderId="39" xfId="0" applyNumberFormat="1" applyFont="1" applyBorder="1" applyAlignment="1" applyProtection="1">
      <alignment horizontal="center" vertical="center"/>
      <protection hidden="1"/>
    </xf>
    <xf numFmtId="179" fontId="3" fillId="0" borderId="49" xfId="0" applyNumberFormat="1" applyFont="1" applyBorder="1" applyAlignment="1" applyProtection="1">
      <alignment horizontal="center" vertical="center"/>
      <protection hidden="1"/>
    </xf>
    <xf numFmtId="179" fontId="3" fillId="0" borderId="40" xfId="0" applyNumberFormat="1" applyFont="1" applyBorder="1" applyAlignment="1" applyProtection="1">
      <alignment horizontal="center" vertical="center"/>
      <protection hidden="1"/>
    </xf>
    <xf numFmtId="0" fontId="3" fillId="0" borderId="50" xfId="0" applyFont="1" applyBorder="1" applyAlignment="1" applyProtection="1">
      <alignment horizontal="left" vertical="center"/>
      <protection hidden="1"/>
    </xf>
    <xf numFmtId="0" fontId="3" fillId="0" borderId="26" xfId="0" applyFont="1" applyBorder="1" applyAlignment="1" applyProtection="1">
      <alignment horizontal="left" vertical="center"/>
      <protection hidden="1"/>
    </xf>
    <xf numFmtId="0" fontId="8" fillId="0" borderId="26" xfId="0" applyFont="1" applyBorder="1" applyAlignment="1" applyProtection="1">
      <alignment horizontal="center" vertical="center"/>
      <protection hidden="1"/>
    </xf>
    <xf numFmtId="0" fontId="8" fillId="0" borderId="31" xfId="0" applyFont="1" applyBorder="1" applyAlignment="1" applyProtection="1">
      <alignment horizontal="center" vertical="center"/>
      <protection hidden="1"/>
    </xf>
    <xf numFmtId="0" fontId="3" fillId="0" borderId="51" xfId="0" applyFont="1" applyBorder="1" applyAlignment="1" applyProtection="1">
      <alignment horizontal="center" vertical="center" wrapText="1"/>
      <protection hidden="1"/>
    </xf>
    <xf numFmtId="0" fontId="3" fillId="0" borderId="52" xfId="0" applyFont="1" applyBorder="1" applyAlignment="1" applyProtection="1">
      <alignment horizontal="center" vertical="center" wrapText="1"/>
      <protection hidden="1"/>
    </xf>
    <xf numFmtId="0" fontId="3" fillId="0" borderId="26" xfId="0" applyFont="1" applyBorder="1" applyAlignment="1" applyProtection="1">
      <alignment horizontal="center" vertical="center"/>
      <protection hidden="1"/>
    </xf>
    <xf numFmtId="0" fontId="3" fillId="0" borderId="53" xfId="0" applyFont="1" applyBorder="1" applyAlignment="1" applyProtection="1">
      <alignment horizontal="center" vertical="center"/>
      <protection hidden="1"/>
    </xf>
    <xf numFmtId="0" fontId="3" fillId="0" borderId="54" xfId="0" applyFont="1" applyBorder="1" applyAlignment="1" applyProtection="1">
      <alignment horizontal="center" vertical="center"/>
      <protection hidden="1"/>
    </xf>
    <xf numFmtId="0" fontId="3" fillId="0" borderId="55" xfId="0" applyFont="1" applyBorder="1" applyAlignment="1" applyProtection="1">
      <alignment horizontal="center" vertical="center"/>
      <protection hidden="1"/>
    </xf>
    <xf numFmtId="0" fontId="3" fillId="0" borderId="5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hidden="1"/>
    </xf>
    <xf numFmtId="0" fontId="7" fillId="0" borderId="45" xfId="0" applyFont="1" applyBorder="1" applyAlignment="1" applyProtection="1">
      <alignment horizontal="left" vertical="center"/>
      <protection hidden="1"/>
    </xf>
    <xf numFmtId="0" fontId="7" fillId="0" borderId="8" xfId="0" applyFont="1" applyBorder="1" applyAlignment="1" applyProtection="1">
      <alignment horizontal="left" vertical="center"/>
      <protection hidden="1"/>
    </xf>
    <xf numFmtId="0" fontId="7" fillId="0" borderId="56" xfId="0" applyFont="1" applyBorder="1" applyAlignment="1" applyProtection="1">
      <alignment horizontal="left" vertical="center"/>
      <protection hidden="1"/>
    </xf>
    <xf numFmtId="0" fontId="3" fillId="0" borderId="5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3" fillId="0" borderId="57" xfId="0" applyFont="1" applyBorder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58" xfId="0" applyFont="1" applyBorder="1" applyAlignment="1" applyProtection="1">
      <alignment horizontal="left" vertical="center"/>
      <protection hidden="1"/>
    </xf>
    <xf numFmtId="0" fontId="6" fillId="0" borderId="57" xfId="0" applyFont="1" applyBorder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6" fillId="0" borderId="58" xfId="0" applyFont="1" applyBorder="1" applyAlignment="1" applyProtection="1">
      <alignment horizontal="left" vertical="center"/>
      <protection hidden="1"/>
    </xf>
    <xf numFmtId="0" fontId="6" fillId="0" borderId="5" xfId="0" applyFont="1" applyBorder="1" applyAlignment="1" applyProtection="1">
      <alignment horizontal="left" vertical="center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0" fontId="7" fillId="0" borderId="57" xfId="0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58" xfId="0" applyFont="1" applyBorder="1" applyAlignment="1" applyProtection="1">
      <alignment horizontal="left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3" fillId="0" borderId="59" xfId="0" applyFont="1" applyBorder="1" applyAlignment="1" applyProtection="1">
      <alignment horizontal="left" vertical="center"/>
      <protection hidden="1"/>
    </xf>
    <xf numFmtId="0" fontId="3" fillId="0" borderId="22" xfId="0" applyFont="1" applyBorder="1" applyAlignment="1" applyProtection="1">
      <alignment horizontal="left" vertical="center"/>
      <protection hidden="1"/>
    </xf>
    <xf numFmtId="0" fontId="3" fillId="0" borderId="47" xfId="0" applyFont="1" applyBorder="1" applyAlignment="1" applyProtection="1">
      <alignment horizontal="left" vertical="center"/>
      <protection hidden="1"/>
    </xf>
    <xf numFmtId="0" fontId="3" fillId="0" borderId="54" xfId="0" applyFont="1" applyBorder="1" applyAlignment="1" applyProtection="1">
      <alignment horizontal="left" vertical="center"/>
      <protection hidden="1"/>
    </xf>
    <xf numFmtId="0" fontId="11" fillId="4" borderId="33" xfId="0" applyFont="1" applyFill="1" applyBorder="1" applyAlignment="1" applyProtection="1">
      <alignment horizontal="center" vertical="center"/>
      <protection locked="0"/>
    </xf>
    <xf numFmtId="0" fontId="11" fillId="4" borderId="34" xfId="0" applyFont="1" applyFill="1" applyBorder="1" applyAlignment="1" applyProtection="1">
      <alignment horizontal="center" vertical="center"/>
      <protection locked="0"/>
    </xf>
    <xf numFmtId="0" fontId="12" fillId="0" borderId="60" xfId="0" applyFont="1" applyBorder="1" applyAlignment="1" applyProtection="1">
      <alignment horizontal="center" vertical="center"/>
      <protection hidden="1"/>
    </xf>
    <xf numFmtId="0" fontId="3" fillId="0" borderId="61" xfId="0" applyFont="1" applyBorder="1" applyAlignment="1" applyProtection="1">
      <alignment horizontal="center" vertical="center"/>
      <protection hidden="1"/>
    </xf>
    <xf numFmtId="0" fontId="3" fillId="0" borderId="45" xfId="0" applyFont="1" applyBorder="1" applyAlignment="1" applyProtection="1">
      <alignment horizontal="left" vertical="center"/>
      <protection hidden="1"/>
    </xf>
    <xf numFmtId="0" fontId="3" fillId="0" borderId="56" xfId="0" applyFont="1" applyBorder="1" applyAlignment="1" applyProtection="1">
      <alignment horizontal="left" vertical="center"/>
      <protection hidden="1"/>
    </xf>
    <xf numFmtId="0" fontId="8" fillId="0" borderId="36" xfId="0" applyFont="1" applyBorder="1" applyAlignment="1" applyProtection="1">
      <alignment horizontal="center" vertical="center"/>
      <protection hidden="1"/>
    </xf>
    <xf numFmtId="0" fontId="7" fillId="0" borderId="51" xfId="0" applyFont="1" applyBorder="1" applyAlignment="1" applyProtection="1">
      <alignment horizontal="center" vertical="center" wrapText="1"/>
      <protection hidden="1"/>
    </xf>
    <xf numFmtId="0" fontId="7" fillId="0" borderId="52" xfId="0" applyFont="1" applyBorder="1" applyAlignment="1" applyProtection="1">
      <alignment horizontal="center" vertical="center" wrapText="1"/>
      <protection hidden="1"/>
    </xf>
    <xf numFmtId="176" fontId="3" fillId="0" borderId="57" xfId="0" applyNumberFormat="1" applyFont="1" applyBorder="1" applyAlignment="1" applyProtection="1">
      <alignment horizontal="left" vertical="center"/>
      <protection hidden="1"/>
    </xf>
    <xf numFmtId="176" fontId="3" fillId="0" borderId="0" xfId="0" applyNumberFormat="1" applyFont="1" applyAlignment="1" applyProtection="1">
      <alignment horizontal="left" vertical="center"/>
      <protection hidden="1"/>
    </xf>
    <xf numFmtId="176" fontId="3" fillId="0" borderId="58" xfId="0" applyNumberFormat="1" applyFont="1" applyBorder="1" applyAlignment="1" applyProtection="1">
      <alignment horizontal="left" vertical="center"/>
      <protection hidden="1"/>
    </xf>
    <xf numFmtId="0" fontId="31" fillId="0" borderId="83" xfId="0" applyFont="1" applyBorder="1" applyAlignment="1" applyProtection="1">
      <alignment horizontal="center" vertical="center"/>
      <protection locked="0"/>
    </xf>
    <xf numFmtId="0" fontId="0" fillId="0" borderId="4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0" fillId="0" borderId="80" xfId="0" applyFont="1" applyBorder="1" applyAlignment="1" applyProtection="1">
      <alignment horizontal="center" vertical="center" textRotation="255"/>
      <protection hidden="1"/>
    </xf>
    <xf numFmtId="0" fontId="20" fillId="0" borderId="81" xfId="0" applyFont="1" applyBorder="1" applyAlignment="1" applyProtection="1">
      <alignment horizontal="center" vertical="center" textRotation="255"/>
      <protection hidden="1"/>
    </xf>
    <xf numFmtId="0" fontId="20" fillId="0" borderId="82" xfId="0" applyFont="1" applyBorder="1" applyAlignment="1" applyProtection="1">
      <alignment horizontal="center" vertical="center" textRotation="255"/>
      <protection hidden="1"/>
    </xf>
    <xf numFmtId="0" fontId="31" fillId="0" borderId="50" xfId="0" applyFont="1" applyBorder="1" applyAlignment="1" applyProtection="1">
      <alignment horizontal="center" vertical="center"/>
      <protection locked="0"/>
    </xf>
    <xf numFmtId="0" fontId="31" fillId="0" borderId="26" xfId="0" applyFont="1" applyBorder="1" applyAlignment="1" applyProtection="1">
      <alignment horizontal="center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3" fillId="0" borderId="6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17" fillId="0" borderId="67" xfId="0" applyFont="1" applyBorder="1" applyAlignment="1" applyProtection="1">
      <alignment horizontal="center" vertical="center"/>
      <protection hidden="1"/>
    </xf>
    <xf numFmtId="0" fontId="17" fillId="0" borderId="68" xfId="0" applyFont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36" fillId="2" borderId="29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74" xfId="0" applyFont="1" applyFill="1" applyBorder="1" applyAlignment="1">
      <alignment horizontal="center" vertical="center"/>
    </xf>
    <xf numFmtId="0" fontId="14" fillId="2" borderId="75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4" fillId="2" borderId="77" xfId="0" applyFont="1" applyFill="1" applyBorder="1" applyAlignment="1">
      <alignment horizontal="center" vertical="center"/>
    </xf>
    <xf numFmtId="0" fontId="17" fillId="0" borderId="69" xfId="0" applyFont="1" applyBorder="1" applyAlignment="1" applyProtection="1">
      <alignment horizontal="center" vertical="center"/>
      <protection hidden="1"/>
    </xf>
    <xf numFmtId="0" fontId="17" fillId="0" borderId="70" xfId="0" applyFont="1" applyBorder="1" applyAlignment="1" applyProtection="1">
      <alignment horizontal="center" vertical="center"/>
      <protection hidden="1"/>
    </xf>
    <xf numFmtId="0" fontId="3" fillId="0" borderId="78" xfId="0" applyFont="1" applyBorder="1" applyAlignment="1" applyProtection="1">
      <alignment horizontal="center" vertical="center"/>
      <protection hidden="1"/>
    </xf>
    <xf numFmtId="0" fontId="3" fillId="0" borderId="41" xfId="0" applyFont="1" applyBorder="1" applyAlignment="1" applyProtection="1">
      <alignment horizontal="center" vertical="center"/>
      <protection hidden="1"/>
    </xf>
    <xf numFmtId="0" fontId="3" fillId="0" borderId="79" xfId="0" applyFont="1" applyBorder="1" applyAlignment="1" applyProtection="1">
      <alignment horizontal="center" vertical="center"/>
      <protection hidden="1"/>
    </xf>
    <xf numFmtId="0" fontId="17" fillId="0" borderId="71" xfId="0" applyFont="1" applyBorder="1" applyAlignment="1" applyProtection="1">
      <alignment horizontal="center" vertical="center" wrapText="1"/>
      <protection hidden="1"/>
    </xf>
    <xf numFmtId="0" fontId="17" fillId="0" borderId="63" xfId="0" applyFont="1" applyBorder="1" applyAlignment="1" applyProtection="1">
      <alignment horizontal="center" vertical="center" wrapText="1"/>
      <protection hidden="1"/>
    </xf>
    <xf numFmtId="0" fontId="17" fillId="0" borderId="11" xfId="0" applyFont="1" applyBorder="1" applyAlignment="1" applyProtection="1">
      <alignment horizontal="center" vertical="center" wrapText="1"/>
      <protection hidden="1"/>
    </xf>
    <xf numFmtId="0" fontId="33" fillId="0" borderId="65" xfId="0" applyFont="1" applyBorder="1" applyAlignment="1" applyProtection="1">
      <alignment horizontal="center" vertical="center"/>
      <protection hidden="1"/>
    </xf>
    <xf numFmtId="0" fontId="17" fillId="0" borderId="66" xfId="0" applyFont="1" applyBorder="1" applyAlignment="1" applyProtection="1">
      <alignment horizontal="center" vertical="center"/>
      <protection hidden="1"/>
    </xf>
    <xf numFmtId="0" fontId="5" fillId="0" borderId="62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33" fillId="0" borderId="67" xfId="0" applyFont="1" applyBorder="1" applyAlignment="1" applyProtection="1">
      <alignment horizontal="center" vertical="center"/>
      <protection hidden="1"/>
    </xf>
    <xf numFmtId="0" fontId="12" fillId="0" borderId="62" xfId="0" applyFont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7" fillId="0" borderId="64" xfId="0" applyFont="1" applyBorder="1" applyAlignment="1" applyProtection="1">
      <alignment horizontal="center" vertical="center" wrapText="1"/>
      <protection hidden="1"/>
    </xf>
    <xf numFmtId="0" fontId="17" fillId="0" borderId="72" xfId="0" applyFont="1" applyBorder="1" applyAlignment="1" applyProtection="1">
      <alignment horizontal="center" vertical="center"/>
      <protection hidden="1"/>
    </xf>
    <xf numFmtId="0" fontId="17" fillId="0" borderId="73" xfId="0" applyFont="1" applyBorder="1" applyAlignment="1" applyProtection="1">
      <alignment horizontal="center" vertical="center"/>
      <protection hidden="1"/>
    </xf>
    <xf numFmtId="178" fontId="16" fillId="0" borderId="0" xfId="0" applyNumberFormat="1" applyFont="1" applyBorder="1" applyAlignment="1" applyProtection="1">
      <alignment horizontal="center" vertical="center"/>
      <protection hidden="1"/>
    </xf>
    <xf numFmtId="178" fontId="2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hidden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83972125435653E-2"/>
          <c:y val="2.4447949526813961E-2"/>
          <c:w val="0.88327526132404177"/>
          <c:h val="0.9266561514195587"/>
        </c:manualLayout>
      </c:layout>
      <c:scatterChart>
        <c:scatterStyle val="lineMarker"/>
        <c:varyColors val="0"/>
        <c:ser>
          <c:idx val="12"/>
          <c:order val="0"/>
          <c:tx>
            <c:strRef>
              <c:f>协调曲线图!$D$85</c:f>
              <c:strCache>
                <c:ptCount val="1"/>
                <c:pt idx="0">
                  <c:v>--------------------6kvC1变馈线</c:v>
                </c:pt>
              </c:strCache>
            </c:strRef>
          </c:tx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0395479915115351E-2"/>
                  <c:y val="-0.1783777922359573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曲線Lever計算!$D$8:$D$207</c:f>
              <c:numCache>
                <c:formatCode>General</c:formatCode>
                <c:ptCount val="200"/>
                <c:pt idx="0">
                  <c:v>38.4</c:v>
                </c:pt>
                <c:pt idx="1">
                  <c:v>64</c:v>
                </c:pt>
                <c:pt idx="2">
                  <c:v>96</c:v>
                </c:pt>
                <c:pt idx="3">
                  <c:v>128</c:v>
                </c:pt>
                <c:pt idx="4">
                  <c:v>160</c:v>
                </c:pt>
                <c:pt idx="5">
                  <c:v>192</c:v>
                </c:pt>
                <c:pt idx="6">
                  <c:v>224</c:v>
                </c:pt>
                <c:pt idx="7">
                  <c:v>256</c:v>
                </c:pt>
                <c:pt idx="8">
                  <c:v>288</c:v>
                </c:pt>
                <c:pt idx="9">
                  <c:v>320</c:v>
                </c:pt>
                <c:pt idx="10">
                  <c:v>352</c:v>
                </c:pt>
                <c:pt idx="11">
                  <c:v>384</c:v>
                </c:pt>
                <c:pt idx="12">
                  <c:v>416</c:v>
                </c:pt>
                <c:pt idx="13">
                  <c:v>448</c:v>
                </c:pt>
                <c:pt idx="14">
                  <c:v>480</c:v>
                </c:pt>
                <c:pt idx="15">
                  <c:v>512</c:v>
                </c:pt>
                <c:pt idx="16">
                  <c:v>544</c:v>
                </c:pt>
                <c:pt idx="17">
                  <c:v>576</c:v>
                </c:pt>
                <c:pt idx="18">
                  <c:v>608</c:v>
                </c:pt>
                <c:pt idx="19">
                  <c:v>640</c:v>
                </c:pt>
                <c:pt idx="20">
                  <c:v>672</c:v>
                </c:pt>
                <c:pt idx="21">
                  <c:v>704</c:v>
                </c:pt>
                <c:pt idx="22">
                  <c:v>736</c:v>
                </c:pt>
                <c:pt idx="23">
                  <c:v>768</c:v>
                </c:pt>
                <c:pt idx="24">
                  <c:v>800</c:v>
                </c:pt>
                <c:pt idx="25">
                  <c:v>832</c:v>
                </c:pt>
                <c:pt idx="26">
                  <c:v>864</c:v>
                </c:pt>
                <c:pt idx="27">
                  <c:v>896</c:v>
                </c:pt>
                <c:pt idx="28">
                  <c:v>928</c:v>
                </c:pt>
                <c:pt idx="29">
                  <c:v>960</c:v>
                </c:pt>
                <c:pt idx="30">
                  <c:v>992</c:v>
                </c:pt>
                <c:pt idx="31">
                  <c:v>1024</c:v>
                </c:pt>
                <c:pt idx="32">
                  <c:v>1050</c:v>
                </c:pt>
                <c:pt idx="33">
                  <c:v>1050</c:v>
                </c:pt>
                <c:pt idx="34">
                  <c:v>1050</c:v>
                </c:pt>
                <c:pt idx="35">
                  <c:v>1050</c:v>
                </c:pt>
                <c:pt idx="36">
                  <c:v>1050</c:v>
                </c:pt>
                <c:pt idx="37">
                  <c:v>1050</c:v>
                </c:pt>
                <c:pt idx="38">
                  <c:v>1050</c:v>
                </c:pt>
                <c:pt idx="39">
                  <c:v>1050</c:v>
                </c:pt>
                <c:pt idx="40">
                  <c:v>1050</c:v>
                </c:pt>
                <c:pt idx="41">
                  <c:v>1050</c:v>
                </c:pt>
                <c:pt idx="42">
                  <c:v>1050</c:v>
                </c:pt>
                <c:pt idx="43">
                  <c:v>1050</c:v>
                </c:pt>
                <c:pt idx="44">
                  <c:v>1050</c:v>
                </c:pt>
                <c:pt idx="45">
                  <c:v>1050</c:v>
                </c:pt>
                <c:pt idx="46">
                  <c:v>1050</c:v>
                </c:pt>
                <c:pt idx="47">
                  <c:v>1050</c:v>
                </c:pt>
                <c:pt idx="48">
                  <c:v>1050</c:v>
                </c:pt>
                <c:pt idx="49">
                  <c:v>1050</c:v>
                </c:pt>
                <c:pt idx="50">
                  <c:v>1050</c:v>
                </c:pt>
                <c:pt idx="51">
                  <c:v>1050</c:v>
                </c:pt>
                <c:pt idx="52">
                  <c:v>1050</c:v>
                </c:pt>
                <c:pt idx="53">
                  <c:v>1050</c:v>
                </c:pt>
                <c:pt idx="54">
                  <c:v>1050</c:v>
                </c:pt>
                <c:pt idx="55">
                  <c:v>1050</c:v>
                </c:pt>
                <c:pt idx="56">
                  <c:v>1050</c:v>
                </c:pt>
                <c:pt idx="57">
                  <c:v>1050</c:v>
                </c:pt>
                <c:pt idx="58">
                  <c:v>1050</c:v>
                </c:pt>
                <c:pt idx="59">
                  <c:v>1050</c:v>
                </c:pt>
                <c:pt idx="60">
                  <c:v>1050</c:v>
                </c:pt>
                <c:pt idx="61">
                  <c:v>1050</c:v>
                </c:pt>
                <c:pt idx="62">
                  <c:v>1050</c:v>
                </c:pt>
                <c:pt idx="63">
                  <c:v>1050</c:v>
                </c:pt>
                <c:pt idx="64">
                  <c:v>1050</c:v>
                </c:pt>
                <c:pt idx="65">
                  <c:v>1050</c:v>
                </c:pt>
                <c:pt idx="66">
                  <c:v>1050</c:v>
                </c:pt>
                <c:pt idx="67">
                  <c:v>1050</c:v>
                </c:pt>
                <c:pt idx="68">
                  <c:v>1050</c:v>
                </c:pt>
                <c:pt idx="69">
                  <c:v>1050</c:v>
                </c:pt>
                <c:pt idx="70">
                  <c:v>1050</c:v>
                </c:pt>
                <c:pt idx="71">
                  <c:v>1050</c:v>
                </c:pt>
                <c:pt idx="72">
                  <c:v>1050</c:v>
                </c:pt>
                <c:pt idx="73">
                  <c:v>1050</c:v>
                </c:pt>
                <c:pt idx="74">
                  <c:v>1050</c:v>
                </c:pt>
                <c:pt idx="75">
                  <c:v>1050</c:v>
                </c:pt>
                <c:pt idx="76">
                  <c:v>1050</c:v>
                </c:pt>
                <c:pt idx="77">
                  <c:v>1050</c:v>
                </c:pt>
                <c:pt idx="78">
                  <c:v>1050</c:v>
                </c:pt>
                <c:pt idx="79">
                  <c:v>1050</c:v>
                </c:pt>
                <c:pt idx="80">
                  <c:v>1050</c:v>
                </c:pt>
                <c:pt idx="81">
                  <c:v>1050</c:v>
                </c:pt>
                <c:pt idx="82">
                  <c:v>1050</c:v>
                </c:pt>
                <c:pt idx="83">
                  <c:v>1050</c:v>
                </c:pt>
                <c:pt idx="84">
                  <c:v>1050</c:v>
                </c:pt>
                <c:pt idx="85">
                  <c:v>1050</c:v>
                </c:pt>
                <c:pt idx="86">
                  <c:v>1050</c:v>
                </c:pt>
                <c:pt idx="87">
                  <c:v>1050</c:v>
                </c:pt>
                <c:pt idx="88">
                  <c:v>1050</c:v>
                </c:pt>
                <c:pt idx="89">
                  <c:v>1050</c:v>
                </c:pt>
                <c:pt idx="90">
                  <c:v>1050</c:v>
                </c:pt>
                <c:pt idx="91">
                  <c:v>1050</c:v>
                </c:pt>
                <c:pt idx="92">
                  <c:v>1050</c:v>
                </c:pt>
                <c:pt idx="93">
                  <c:v>1050</c:v>
                </c:pt>
                <c:pt idx="94">
                  <c:v>1050</c:v>
                </c:pt>
                <c:pt idx="95">
                  <c:v>1050</c:v>
                </c:pt>
                <c:pt idx="96">
                  <c:v>1050</c:v>
                </c:pt>
                <c:pt idx="97">
                  <c:v>1050</c:v>
                </c:pt>
                <c:pt idx="98">
                  <c:v>1050</c:v>
                </c:pt>
                <c:pt idx="99">
                  <c:v>1050</c:v>
                </c:pt>
                <c:pt idx="100">
                  <c:v>1050</c:v>
                </c:pt>
                <c:pt idx="101">
                  <c:v>1050</c:v>
                </c:pt>
                <c:pt idx="102">
                  <c:v>1050</c:v>
                </c:pt>
                <c:pt idx="103">
                  <c:v>1050</c:v>
                </c:pt>
                <c:pt idx="104">
                  <c:v>1050</c:v>
                </c:pt>
                <c:pt idx="105">
                  <c:v>1050</c:v>
                </c:pt>
                <c:pt idx="106">
                  <c:v>1050</c:v>
                </c:pt>
                <c:pt idx="107">
                  <c:v>1050</c:v>
                </c:pt>
                <c:pt idx="108">
                  <c:v>1050</c:v>
                </c:pt>
                <c:pt idx="109">
                  <c:v>1050</c:v>
                </c:pt>
                <c:pt idx="110">
                  <c:v>1050</c:v>
                </c:pt>
                <c:pt idx="111">
                  <c:v>1050</c:v>
                </c:pt>
                <c:pt idx="112">
                  <c:v>1050</c:v>
                </c:pt>
                <c:pt idx="113">
                  <c:v>1050</c:v>
                </c:pt>
                <c:pt idx="114">
                  <c:v>1050</c:v>
                </c:pt>
                <c:pt idx="115">
                  <c:v>1050</c:v>
                </c:pt>
                <c:pt idx="116">
                  <c:v>1050</c:v>
                </c:pt>
                <c:pt idx="117">
                  <c:v>1050</c:v>
                </c:pt>
                <c:pt idx="118">
                  <c:v>1050</c:v>
                </c:pt>
                <c:pt idx="119">
                  <c:v>1050</c:v>
                </c:pt>
                <c:pt idx="120">
                  <c:v>1050</c:v>
                </c:pt>
                <c:pt idx="121">
                  <c:v>1050</c:v>
                </c:pt>
                <c:pt idx="122">
                  <c:v>1050</c:v>
                </c:pt>
                <c:pt idx="123">
                  <c:v>1050</c:v>
                </c:pt>
                <c:pt idx="124">
                  <c:v>1050</c:v>
                </c:pt>
                <c:pt idx="125">
                  <c:v>1050</c:v>
                </c:pt>
                <c:pt idx="126">
                  <c:v>1050</c:v>
                </c:pt>
                <c:pt idx="127">
                  <c:v>1050</c:v>
                </c:pt>
                <c:pt idx="128">
                  <c:v>1050</c:v>
                </c:pt>
                <c:pt idx="129">
                  <c:v>1050</c:v>
                </c:pt>
                <c:pt idx="130">
                  <c:v>1050</c:v>
                </c:pt>
                <c:pt idx="131">
                  <c:v>1050</c:v>
                </c:pt>
                <c:pt idx="132">
                  <c:v>1050</c:v>
                </c:pt>
                <c:pt idx="133">
                  <c:v>1050</c:v>
                </c:pt>
                <c:pt idx="134">
                  <c:v>1050</c:v>
                </c:pt>
                <c:pt idx="135">
                  <c:v>1050</c:v>
                </c:pt>
                <c:pt idx="136">
                  <c:v>1050</c:v>
                </c:pt>
                <c:pt idx="137">
                  <c:v>1050</c:v>
                </c:pt>
                <c:pt idx="138">
                  <c:v>1050</c:v>
                </c:pt>
                <c:pt idx="139">
                  <c:v>1050</c:v>
                </c:pt>
                <c:pt idx="140">
                  <c:v>1050</c:v>
                </c:pt>
                <c:pt idx="141">
                  <c:v>1050</c:v>
                </c:pt>
                <c:pt idx="142">
                  <c:v>1050</c:v>
                </c:pt>
                <c:pt idx="143">
                  <c:v>1050</c:v>
                </c:pt>
                <c:pt idx="144">
                  <c:v>1050</c:v>
                </c:pt>
                <c:pt idx="145">
                  <c:v>1050</c:v>
                </c:pt>
                <c:pt idx="146">
                  <c:v>1050</c:v>
                </c:pt>
                <c:pt idx="147">
                  <c:v>1050</c:v>
                </c:pt>
                <c:pt idx="148">
                  <c:v>1050</c:v>
                </c:pt>
                <c:pt idx="149">
                  <c:v>1050</c:v>
                </c:pt>
                <c:pt idx="150">
                  <c:v>1050</c:v>
                </c:pt>
                <c:pt idx="151">
                  <c:v>1050</c:v>
                </c:pt>
                <c:pt idx="152">
                  <c:v>1050</c:v>
                </c:pt>
                <c:pt idx="153">
                  <c:v>1050</c:v>
                </c:pt>
                <c:pt idx="154">
                  <c:v>1050</c:v>
                </c:pt>
                <c:pt idx="155">
                  <c:v>1050</c:v>
                </c:pt>
                <c:pt idx="156">
                  <c:v>1050</c:v>
                </c:pt>
                <c:pt idx="157">
                  <c:v>1050</c:v>
                </c:pt>
                <c:pt idx="158">
                  <c:v>1050</c:v>
                </c:pt>
                <c:pt idx="159">
                  <c:v>1050</c:v>
                </c:pt>
                <c:pt idx="160">
                  <c:v>1050</c:v>
                </c:pt>
                <c:pt idx="161">
                  <c:v>1050</c:v>
                </c:pt>
                <c:pt idx="162">
                  <c:v>1050</c:v>
                </c:pt>
                <c:pt idx="163">
                  <c:v>1050</c:v>
                </c:pt>
                <c:pt idx="164">
                  <c:v>1050</c:v>
                </c:pt>
                <c:pt idx="165">
                  <c:v>1050</c:v>
                </c:pt>
                <c:pt idx="166">
                  <c:v>1050</c:v>
                </c:pt>
                <c:pt idx="167">
                  <c:v>1050</c:v>
                </c:pt>
                <c:pt idx="168">
                  <c:v>1050</c:v>
                </c:pt>
                <c:pt idx="169">
                  <c:v>1050</c:v>
                </c:pt>
                <c:pt idx="170">
                  <c:v>1050</c:v>
                </c:pt>
                <c:pt idx="171">
                  <c:v>1050</c:v>
                </c:pt>
                <c:pt idx="172">
                  <c:v>1050</c:v>
                </c:pt>
                <c:pt idx="173">
                  <c:v>1050</c:v>
                </c:pt>
                <c:pt idx="174">
                  <c:v>1050</c:v>
                </c:pt>
                <c:pt idx="175">
                  <c:v>1050</c:v>
                </c:pt>
                <c:pt idx="176">
                  <c:v>1050</c:v>
                </c:pt>
                <c:pt idx="177">
                  <c:v>1050</c:v>
                </c:pt>
                <c:pt idx="178">
                  <c:v>1050</c:v>
                </c:pt>
                <c:pt idx="179">
                  <c:v>1050</c:v>
                </c:pt>
                <c:pt idx="180">
                  <c:v>1050</c:v>
                </c:pt>
                <c:pt idx="181">
                  <c:v>1050</c:v>
                </c:pt>
                <c:pt idx="182">
                  <c:v>1050</c:v>
                </c:pt>
                <c:pt idx="183">
                  <c:v>1050</c:v>
                </c:pt>
                <c:pt idx="184">
                  <c:v>1050</c:v>
                </c:pt>
                <c:pt idx="185">
                  <c:v>1050</c:v>
                </c:pt>
                <c:pt idx="186">
                  <c:v>1050</c:v>
                </c:pt>
                <c:pt idx="187">
                  <c:v>1050</c:v>
                </c:pt>
                <c:pt idx="188">
                  <c:v>1050</c:v>
                </c:pt>
                <c:pt idx="189">
                  <c:v>1050</c:v>
                </c:pt>
                <c:pt idx="190">
                  <c:v>1050</c:v>
                </c:pt>
                <c:pt idx="191">
                  <c:v>1050</c:v>
                </c:pt>
                <c:pt idx="192">
                  <c:v>1050</c:v>
                </c:pt>
                <c:pt idx="193">
                  <c:v>1050</c:v>
                </c:pt>
                <c:pt idx="194">
                  <c:v>1050</c:v>
                </c:pt>
                <c:pt idx="195">
                  <c:v>1050</c:v>
                </c:pt>
                <c:pt idx="196">
                  <c:v>1050</c:v>
                </c:pt>
                <c:pt idx="197">
                  <c:v>1050</c:v>
                </c:pt>
                <c:pt idx="198">
                  <c:v>1050</c:v>
                </c:pt>
                <c:pt idx="199">
                  <c:v>6400</c:v>
                </c:pt>
              </c:numCache>
            </c:numRef>
          </c:xVal>
          <c:yVal>
            <c:numRef>
              <c:f>曲線Lever計算!$B$8:$B$207</c:f>
              <c:numCache>
                <c:formatCode>General</c:formatCode>
                <c:ptCount val="200"/>
                <c:pt idx="0">
                  <c:v>1.2903618577749472</c:v>
                </c:pt>
                <c:pt idx="1">
                  <c:v>0.33767767744265559</c:v>
                </c:pt>
                <c:pt idx="2">
                  <c:v>0.21218622650480146</c:v>
                </c:pt>
                <c:pt idx="3">
                  <c:v>0.16766855581317835</c:v>
                </c:pt>
                <c:pt idx="4">
                  <c:v>0.14409831888704963</c:v>
                </c:pt>
                <c:pt idx="5">
                  <c:v>0.12919839912863662</c:v>
                </c:pt>
                <c:pt idx="6">
                  <c:v>0.11877920642519486</c:v>
                </c:pt>
                <c:pt idx="7">
                  <c:v>0.11100247871315978</c:v>
                </c:pt>
                <c:pt idx="8">
                  <c:v>0.10492760816257429</c:v>
                </c:pt>
                <c:pt idx="9">
                  <c:v>0.10002015569657964</c:v>
                </c:pt>
                <c:pt idx="10">
                  <c:v>9.5952398229643535E-2</c:v>
                </c:pt>
                <c:pt idx="11">
                  <c:v>9.2511347419459405E-2</c:v>
                </c:pt>
                <c:pt idx="12">
                  <c:v>8.9552093558736084E-2</c:v>
                </c:pt>
                <c:pt idx="13">
                  <c:v>8.6972324016294983E-2</c:v>
                </c:pt>
                <c:pt idx="14">
                  <c:v>8.4697557541135338E-2</c:v>
                </c:pt>
                <c:pt idx="15">
                  <c:v>8.2672162483912001E-2</c:v>
                </c:pt>
                <c:pt idx="16">
                  <c:v>8.0853667164728957E-2</c:v>
                </c:pt>
                <c:pt idx="17">
                  <c:v>7.9209029506611517E-2</c:v>
                </c:pt>
                <c:pt idx="18">
                  <c:v>7.771211782227111E-2</c:v>
                </c:pt>
                <c:pt idx="19">
                  <c:v>7.6341965227173889E-2</c:v>
                </c:pt>
                <c:pt idx="20">
                  <c:v>7.5081532523441102E-2</c:v>
                </c:pt>
                <c:pt idx="21">
                  <c:v>7.391681378259278E-2</c:v>
                </c:pt>
                <c:pt idx="22">
                  <c:v>7.2836178104259269E-2</c:v>
                </c:pt>
                <c:pt idx="23">
                  <c:v>7.1829877409984533E-2</c:v>
                </c:pt>
                <c:pt idx="24">
                  <c:v>7.0889673067669093E-2</c:v>
                </c:pt>
                <c:pt idx="25">
                  <c:v>7.0008548947559923E-2</c:v>
                </c:pt>
                <c:pt idx="26">
                  <c:v>6.9180488273167806E-2</c:v>
                </c:pt>
                <c:pt idx="27">
                  <c:v>6.8400298193267012E-2</c:v>
                </c:pt>
                <c:pt idx="28">
                  <c:v>6.7663470491183209E-2</c:v>
                </c:pt>
                <c:pt idx="29">
                  <c:v>6.6966069969407446E-2</c:v>
                </c:pt>
                <c:pt idx="30">
                  <c:v>6.6304644250384362E-2</c:v>
                </c:pt>
                <c:pt idx="31">
                  <c:v>6.5676150310027492E-2</c:v>
                </c:pt>
                <c:pt idx="32">
                  <c:v>6.5077894201879247E-2</c:v>
                </c:pt>
                <c:pt idx="33">
                  <c:v>6.4507481266342995E-2</c:v>
                </c:pt>
                <c:pt idx="34">
                  <c:v>6.3962774739160039E-2</c:v>
                </c:pt>
                <c:pt idx="35">
                  <c:v>6.3441861137148559E-2</c:v>
                </c:pt>
                <c:pt idx="36">
                  <c:v>6.2943021149687653E-2</c:v>
                </c:pt>
                <c:pt idx="37">
                  <c:v>6.2464705031575696E-2</c:v>
                </c:pt>
                <c:pt idx="38">
                  <c:v>6.2005511698243809E-2</c:v>
                </c:pt>
                <c:pt idx="39">
                  <c:v>6.1564170883397225E-2</c:v>
                </c:pt>
                <c:pt idx="40">
                  <c:v>6.1139527843309185E-2</c:v>
                </c:pt>
                <c:pt idx="41">
                  <c:v>6.0730530189575326E-2</c:v>
                </c:pt>
                <c:pt idx="42">
                  <c:v>6.0336216509326239E-2</c:v>
                </c:pt>
                <c:pt idx="43">
                  <c:v>5.9955706493346771E-2</c:v>
                </c:pt>
                <c:pt idx="44">
                  <c:v>5.9588192341760972E-2</c:v>
                </c:pt>
                <c:pt idx="45">
                  <c:v>5.9232931256560983E-2</c:v>
                </c:pt>
                <c:pt idx="46">
                  <c:v>5.8889238862345032E-2</c:v>
                </c:pt>
                <c:pt idx="47">
                  <c:v>5.8556483422732369E-2</c:v>
                </c:pt>
                <c:pt idx="48">
                  <c:v>5.8234080741266771E-2</c:v>
                </c:pt>
                <c:pt idx="49">
                  <c:v>5.7921489653158194E-2</c:v>
                </c:pt>
                <c:pt idx="50">
                  <c:v>5.761820802867737E-2</c:v>
                </c:pt>
                <c:pt idx="51">
                  <c:v>5.7323769221005814E-2</c:v>
                </c:pt>
                <c:pt idx="52">
                  <c:v>5.7037738901320578E-2</c:v>
                </c:pt>
                <c:pt idx="53">
                  <c:v>5.6759712232216868E-2</c:v>
                </c:pt>
                <c:pt idx="54">
                  <c:v>5.6489311337561333E-2</c:v>
                </c:pt>
                <c:pt idx="55">
                  <c:v>5.6226183032736431E-2</c:v>
                </c:pt>
                <c:pt idx="56">
                  <c:v>5.5969996784200345E-2</c:v>
                </c:pt>
                <c:pt idx="57">
                  <c:v>5.5720442871484727E-2</c:v>
                </c:pt>
                <c:pt idx="58">
                  <c:v>5.5477230728320566E-2</c:v>
                </c:pt>
                <c:pt idx="59">
                  <c:v>5.5240087442625041E-2</c:v>
                </c:pt>
                <c:pt idx="60">
                  <c:v>5.5008756397682032E-2</c:v>
                </c:pt>
                <c:pt idx="61">
                  <c:v>5.4782996039074577E-2</c:v>
                </c:pt>
                <c:pt idx="62">
                  <c:v>5.4562578753845792E-2</c:v>
                </c:pt>
                <c:pt idx="63">
                  <c:v>5.4347289850013109E-2</c:v>
                </c:pt>
                <c:pt idx="64">
                  <c:v>5.413692662598734E-2</c:v>
                </c:pt>
                <c:pt idx="65">
                  <c:v>5.3931297520684617E-2</c:v>
                </c:pt>
                <c:pt idx="66">
                  <c:v>5.3730221336187434E-2</c:v>
                </c:pt>
                <c:pt idx="67">
                  <c:v>5.3533526525748824E-2</c:v>
                </c:pt>
                <c:pt idx="68">
                  <c:v>5.3341050540743583E-2</c:v>
                </c:pt>
                <c:pt idx="69">
                  <c:v>5.3152639230885111E-2</c:v>
                </c:pt>
                <c:pt idx="70">
                  <c:v>5.2968146292645367E-2</c:v>
                </c:pt>
                <c:pt idx="71">
                  <c:v>5.2787432761366118E-2</c:v>
                </c:pt>
                <c:pt idx="72">
                  <c:v>5.2610366543026151E-2</c:v>
                </c:pt>
                <c:pt idx="73">
                  <c:v>5.2436821982058207E-2</c:v>
                </c:pt>
                <c:pt idx="74">
                  <c:v>5.2266679461976578E-2</c:v>
                </c:pt>
                <c:pt idx="75">
                  <c:v>5.2099825035911797E-2</c:v>
                </c:pt>
                <c:pt idx="76">
                  <c:v>5.1936150084440448E-2</c:v>
                </c:pt>
                <c:pt idx="77">
                  <c:v>5.1775550998356706E-2</c:v>
                </c:pt>
                <c:pt idx="78">
                  <c:v>5.1617928884263871E-2</c:v>
                </c:pt>
                <c:pt idx="79">
                  <c:v>5.1463189291070834E-2</c:v>
                </c:pt>
                <c:pt idx="80">
                  <c:v>5.1311241955659434E-2</c:v>
                </c:pt>
                <c:pt idx="81">
                  <c:v>5.1162000566154699E-2</c:v>
                </c:pt>
                <c:pt idx="82">
                  <c:v>5.1015382541373971E-2</c:v>
                </c:pt>
                <c:pt idx="83">
                  <c:v>5.0871308825164351E-2</c:v>
                </c:pt>
                <c:pt idx="84">
                  <c:v>5.0729703694453891E-2</c:v>
                </c:pt>
                <c:pt idx="85">
                  <c:v>5.0590494579948131E-2</c:v>
                </c:pt>
                <c:pt idx="86">
                  <c:v>5.0453611898497577E-2</c:v>
                </c:pt>
                <c:pt idx="87">
                  <c:v>5.0318988896249479E-2</c:v>
                </c:pt>
                <c:pt idx="88">
                  <c:v>5.0186561501771865E-2</c:v>
                </c:pt>
                <c:pt idx="89">
                  <c:v>5.005626818840838E-2</c:v>
                </c:pt>
                <c:pt idx="90">
                  <c:v>0.05</c:v>
                </c:pt>
                <c:pt idx="91">
                  <c:v>0.05</c:v>
                </c:pt>
                <c:pt idx="92">
                  <c:v>0.05</c:v>
                </c:pt>
                <c:pt idx="93">
                  <c:v>0.05</c:v>
                </c:pt>
                <c:pt idx="94">
                  <c:v>0.05</c:v>
                </c:pt>
                <c:pt idx="95">
                  <c:v>0.05</c:v>
                </c:pt>
                <c:pt idx="96">
                  <c:v>0.05</c:v>
                </c:pt>
                <c:pt idx="97">
                  <c:v>0.05</c:v>
                </c:pt>
                <c:pt idx="98">
                  <c:v>0.05</c:v>
                </c:pt>
                <c:pt idx="99">
                  <c:v>0.05</c:v>
                </c:pt>
                <c:pt idx="100">
                  <c:v>0.05</c:v>
                </c:pt>
                <c:pt idx="101">
                  <c:v>0.05</c:v>
                </c:pt>
                <c:pt idx="102">
                  <c:v>0.05</c:v>
                </c:pt>
                <c:pt idx="103">
                  <c:v>0.05</c:v>
                </c:pt>
                <c:pt idx="104">
                  <c:v>0.05</c:v>
                </c:pt>
                <c:pt idx="105">
                  <c:v>0.05</c:v>
                </c:pt>
                <c:pt idx="106">
                  <c:v>0.05</c:v>
                </c:pt>
                <c:pt idx="107">
                  <c:v>0.05</c:v>
                </c:pt>
                <c:pt idx="108">
                  <c:v>0.05</c:v>
                </c:pt>
                <c:pt idx="109">
                  <c:v>0.05</c:v>
                </c:pt>
                <c:pt idx="110">
                  <c:v>0.05</c:v>
                </c:pt>
                <c:pt idx="111">
                  <c:v>0.05</c:v>
                </c:pt>
                <c:pt idx="112">
                  <c:v>0.05</c:v>
                </c:pt>
                <c:pt idx="113">
                  <c:v>0.05</c:v>
                </c:pt>
                <c:pt idx="114">
                  <c:v>0.05</c:v>
                </c:pt>
                <c:pt idx="115">
                  <c:v>0.05</c:v>
                </c:pt>
                <c:pt idx="116">
                  <c:v>0.05</c:v>
                </c:pt>
                <c:pt idx="117">
                  <c:v>0.05</c:v>
                </c:pt>
                <c:pt idx="118">
                  <c:v>0.05</c:v>
                </c:pt>
                <c:pt idx="119">
                  <c:v>0.05</c:v>
                </c:pt>
                <c:pt idx="120">
                  <c:v>0.05</c:v>
                </c:pt>
                <c:pt idx="121">
                  <c:v>0.05</c:v>
                </c:pt>
                <c:pt idx="122">
                  <c:v>0.05</c:v>
                </c:pt>
                <c:pt idx="123">
                  <c:v>0.05</c:v>
                </c:pt>
                <c:pt idx="124">
                  <c:v>0.05</c:v>
                </c:pt>
                <c:pt idx="125">
                  <c:v>0.05</c:v>
                </c:pt>
                <c:pt idx="126">
                  <c:v>0.05</c:v>
                </c:pt>
                <c:pt idx="127">
                  <c:v>0.05</c:v>
                </c:pt>
                <c:pt idx="128">
                  <c:v>0.05</c:v>
                </c:pt>
                <c:pt idx="129">
                  <c:v>0.05</c:v>
                </c:pt>
                <c:pt idx="130">
                  <c:v>0.05</c:v>
                </c:pt>
                <c:pt idx="131">
                  <c:v>0.05</c:v>
                </c:pt>
                <c:pt idx="132">
                  <c:v>0.05</c:v>
                </c:pt>
                <c:pt idx="133">
                  <c:v>0.05</c:v>
                </c:pt>
                <c:pt idx="134">
                  <c:v>0.05</c:v>
                </c:pt>
                <c:pt idx="135">
                  <c:v>0.05</c:v>
                </c:pt>
                <c:pt idx="136">
                  <c:v>0.05</c:v>
                </c:pt>
                <c:pt idx="137">
                  <c:v>0.05</c:v>
                </c:pt>
                <c:pt idx="138">
                  <c:v>0.05</c:v>
                </c:pt>
                <c:pt idx="139">
                  <c:v>0.05</c:v>
                </c:pt>
                <c:pt idx="140">
                  <c:v>0.05</c:v>
                </c:pt>
                <c:pt idx="141">
                  <c:v>0.05</c:v>
                </c:pt>
                <c:pt idx="142">
                  <c:v>0.05</c:v>
                </c:pt>
                <c:pt idx="143">
                  <c:v>0.05</c:v>
                </c:pt>
                <c:pt idx="144">
                  <c:v>0.05</c:v>
                </c:pt>
                <c:pt idx="145">
                  <c:v>0.05</c:v>
                </c:pt>
                <c:pt idx="146">
                  <c:v>0.05</c:v>
                </c:pt>
                <c:pt idx="147">
                  <c:v>0.05</c:v>
                </c:pt>
                <c:pt idx="148">
                  <c:v>0.05</c:v>
                </c:pt>
                <c:pt idx="149">
                  <c:v>0.05</c:v>
                </c:pt>
                <c:pt idx="150">
                  <c:v>0.05</c:v>
                </c:pt>
                <c:pt idx="151">
                  <c:v>0.05</c:v>
                </c:pt>
                <c:pt idx="152">
                  <c:v>0.05</c:v>
                </c:pt>
                <c:pt idx="153">
                  <c:v>0.05</c:v>
                </c:pt>
                <c:pt idx="154">
                  <c:v>0.05</c:v>
                </c:pt>
                <c:pt idx="155">
                  <c:v>0.05</c:v>
                </c:pt>
                <c:pt idx="156">
                  <c:v>0.05</c:v>
                </c:pt>
                <c:pt idx="157">
                  <c:v>0.05</c:v>
                </c:pt>
                <c:pt idx="158">
                  <c:v>0.05</c:v>
                </c:pt>
                <c:pt idx="159">
                  <c:v>0.05</c:v>
                </c:pt>
                <c:pt idx="160">
                  <c:v>0.05</c:v>
                </c:pt>
                <c:pt idx="161">
                  <c:v>0.05</c:v>
                </c:pt>
                <c:pt idx="162">
                  <c:v>0.05</c:v>
                </c:pt>
                <c:pt idx="163">
                  <c:v>0.05</c:v>
                </c:pt>
                <c:pt idx="164">
                  <c:v>0.05</c:v>
                </c:pt>
                <c:pt idx="165">
                  <c:v>0.05</c:v>
                </c:pt>
                <c:pt idx="166">
                  <c:v>0.05</c:v>
                </c:pt>
                <c:pt idx="167">
                  <c:v>0.05</c:v>
                </c:pt>
                <c:pt idx="168">
                  <c:v>0.05</c:v>
                </c:pt>
                <c:pt idx="169">
                  <c:v>0.05</c:v>
                </c:pt>
                <c:pt idx="170">
                  <c:v>0.05</c:v>
                </c:pt>
                <c:pt idx="171">
                  <c:v>0.05</c:v>
                </c:pt>
                <c:pt idx="172">
                  <c:v>0.05</c:v>
                </c:pt>
                <c:pt idx="173">
                  <c:v>0.05</c:v>
                </c:pt>
                <c:pt idx="174">
                  <c:v>0.05</c:v>
                </c:pt>
                <c:pt idx="175">
                  <c:v>0.05</c:v>
                </c:pt>
                <c:pt idx="176">
                  <c:v>0.05</c:v>
                </c:pt>
                <c:pt idx="177">
                  <c:v>0.05</c:v>
                </c:pt>
                <c:pt idx="178">
                  <c:v>0.05</c:v>
                </c:pt>
                <c:pt idx="179">
                  <c:v>0.05</c:v>
                </c:pt>
                <c:pt idx="180">
                  <c:v>0.05</c:v>
                </c:pt>
                <c:pt idx="181">
                  <c:v>0.05</c:v>
                </c:pt>
                <c:pt idx="182">
                  <c:v>0.05</c:v>
                </c:pt>
                <c:pt idx="183">
                  <c:v>0.05</c:v>
                </c:pt>
                <c:pt idx="184">
                  <c:v>0.05</c:v>
                </c:pt>
                <c:pt idx="185">
                  <c:v>0.05</c:v>
                </c:pt>
                <c:pt idx="186">
                  <c:v>0.05</c:v>
                </c:pt>
                <c:pt idx="187">
                  <c:v>0.05</c:v>
                </c:pt>
                <c:pt idx="188">
                  <c:v>0.05</c:v>
                </c:pt>
                <c:pt idx="189">
                  <c:v>0.05</c:v>
                </c:pt>
                <c:pt idx="190">
                  <c:v>0.05</c:v>
                </c:pt>
                <c:pt idx="191">
                  <c:v>0.05</c:v>
                </c:pt>
                <c:pt idx="192">
                  <c:v>0.05</c:v>
                </c:pt>
                <c:pt idx="193">
                  <c:v>0.05</c:v>
                </c:pt>
                <c:pt idx="194">
                  <c:v>0.05</c:v>
                </c:pt>
                <c:pt idx="195">
                  <c:v>0.05</c:v>
                </c:pt>
                <c:pt idx="196">
                  <c:v>0.05</c:v>
                </c:pt>
                <c:pt idx="197">
                  <c:v>0.05</c:v>
                </c:pt>
                <c:pt idx="198">
                  <c:v>0.05</c:v>
                </c:pt>
                <c:pt idx="199">
                  <c:v>0.05</c:v>
                </c:pt>
              </c:numCache>
            </c:numRef>
          </c:yVal>
          <c:smooth val="0"/>
        </c:ser>
        <c:ser>
          <c:idx val="13"/>
          <c:order val="1"/>
          <c:tx>
            <c:strRef>
              <c:f>协调曲线图!$D$86</c:f>
              <c:strCache>
                <c:ptCount val="1"/>
                <c:pt idx="0">
                  <c:v>--------------------6kvC1变母联</c:v>
                </c:pt>
              </c:strCache>
            </c:strRef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2.8534824132308369E-2"/>
                  <c:y val="-0.1461613532856214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曲線Lever計算!$I$8:$I$207</c:f>
              <c:numCache>
                <c:formatCode>General</c:formatCode>
                <c:ptCount val="200"/>
                <c:pt idx="0">
                  <c:v>72</c:v>
                </c:pt>
                <c:pt idx="1">
                  <c:v>120</c:v>
                </c:pt>
                <c:pt idx="2">
                  <c:v>180</c:v>
                </c:pt>
                <c:pt idx="3">
                  <c:v>240</c:v>
                </c:pt>
                <c:pt idx="4">
                  <c:v>300</c:v>
                </c:pt>
                <c:pt idx="5">
                  <c:v>360</c:v>
                </c:pt>
                <c:pt idx="6">
                  <c:v>420</c:v>
                </c:pt>
                <c:pt idx="7">
                  <c:v>480</c:v>
                </c:pt>
                <c:pt idx="8">
                  <c:v>540</c:v>
                </c:pt>
                <c:pt idx="9">
                  <c:v>600</c:v>
                </c:pt>
                <c:pt idx="10">
                  <c:v>660</c:v>
                </c:pt>
                <c:pt idx="11">
                  <c:v>720</c:v>
                </c:pt>
                <c:pt idx="12">
                  <c:v>780</c:v>
                </c:pt>
                <c:pt idx="13">
                  <c:v>840</c:v>
                </c:pt>
                <c:pt idx="14">
                  <c:v>900</c:v>
                </c:pt>
                <c:pt idx="15">
                  <c:v>960</c:v>
                </c:pt>
                <c:pt idx="16">
                  <c:v>1020</c:v>
                </c:pt>
                <c:pt idx="17">
                  <c:v>1080</c:v>
                </c:pt>
                <c:pt idx="18">
                  <c:v>1140</c:v>
                </c:pt>
                <c:pt idx="19">
                  <c:v>1200</c:v>
                </c:pt>
                <c:pt idx="20">
                  <c:v>1260</c:v>
                </c:pt>
                <c:pt idx="21">
                  <c:v>1320</c:v>
                </c:pt>
                <c:pt idx="22">
                  <c:v>1380</c:v>
                </c:pt>
                <c:pt idx="23">
                  <c:v>1440</c:v>
                </c:pt>
                <c:pt idx="24">
                  <c:v>1500</c:v>
                </c:pt>
                <c:pt idx="25">
                  <c:v>1500</c:v>
                </c:pt>
                <c:pt idx="26">
                  <c:v>1500</c:v>
                </c:pt>
                <c:pt idx="27">
                  <c:v>1500</c:v>
                </c:pt>
                <c:pt idx="28">
                  <c:v>1500</c:v>
                </c:pt>
                <c:pt idx="29">
                  <c:v>1500</c:v>
                </c:pt>
                <c:pt idx="30">
                  <c:v>1500</c:v>
                </c:pt>
                <c:pt idx="31">
                  <c:v>1500</c:v>
                </c:pt>
                <c:pt idx="32">
                  <c:v>1500</c:v>
                </c:pt>
                <c:pt idx="33">
                  <c:v>1500</c:v>
                </c:pt>
                <c:pt idx="34">
                  <c:v>1500</c:v>
                </c:pt>
                <c:pt idx="35">
                  <c:v>1500</c:v>
                </c:pt>
                <c:pt idx="36">
                  <c:v>1500</c:v>
                </c:pt>
                <c:pt idx="37">
                  <c:v>1500</c:v>
                </c:pt>
                <c:pt idx="38">
                  <c:v>1500</c:v>
                </c:pt>
                <c:pt idx="39">
                  <c:v>1500</c:v>
                </c:pt>
                <c:pt idx="40">
                  <c:v>1500</c:v>
                </c:pt>
                <c:pt idx="41">
                  <c:v>1500</c:v>
                </c:pt>
                <c:pt idx="42">
                  <c:v>1500</c:v>
                </c:pt>
                <c:pt idx="43">
                  <c:v>1500</c:v>
                </c:pt>
                <c:pt idx="44">
                  <c:v>1500</c:v>
                </c:pt>
                <c:pt idx="45">
                  <c:v>1500</c:v>
                </c:pt>
                <c:pt idx="46">
                  <c:v>1500</c:v>
                </c:pt>
                <c:pt idx="47">
                  <c:v>1500</c:v>
                </c:pt>
                <c:pt idx="48">
                  <c:v>1500</c:v>
                </c:pt>
                <c:pt idx="49">
                  <c:v>1500</c:v>
                </c:pt>
                <c:pt idx="50">
                  <c:v>1500</c:v>
                </c:pt>
                <c:pt idx="51">
                  <c:v>1500</c:v>
                </c:pt>
                <c:pt idx="52">
                  <c:v>1500</c:v>
                </c:pt>
                <c:pt idx="53">
                  <c:v>1500</c:v>
                </c:pt>
                <c:pt idx="54">
                  <c:v>1500</c:v>
                </c:pt>
                <c:pt idx="55">
                  <c:v>1500</c:v>
                </c:pt>
                <c:pt idx="56">
                  <c:v>1500</c:v>
                </c:pt>
                <c:pt idx="57">
                  <c:v>1500</c:v>
                </c:pt>
                <c:pt idx="58">
                  <c:v>1500</c:v>
                </c:pt>
                <c:pt idx="59">
                  <c:v>1500</c:v>
                </c:pt>
                <c:pt idx="60">
                  <c:v>1500</c:v>
                </c:pt>
                <c:pt idx="61">
                  <c:v>1500</c:v>
                </c:pt>
                <c:pt idx="62">
                  <c:v>1500</c:v>
                </c:pt>
                <c:pt idx="63">
                  <c:v>1500</c:v>
                </c:pt>
                <c:pt idx="64">
                  <c:v>1500</c:v>
                </c:pt>
                <c:pt idx="65">
                  <c:v>1500</c:v>
                </c:pt>
                <c:pt idx="66">
                  <c:v>1500</c:v>
                </c:pt>
                <c:pt idx="67">
                  <c:v>1500</c:v>
                </c:pt>
                <c:pt idx="68">
                  <c:v>1500</c:v>
                </c:pt>
                <c:pt idx="69">
                  <c:v>1500</c:v>
                </c:pt>
                <c:pt idx="70">
                  <c:v>1500</c:v>
                </c:pt>
                <c:pt idx="71">
                  <c:v>1500</c:v>
                </c:pt>
                <c:pt idx="72">
                  <c:v>1500</c:v>
                </c:pt>
                <c:pt idx="73">
                  <c:v>1500</c:v>
                </c:pt>
                <c:pt idx="74">
                  <c:v>1500</c:v>
                </c:pt>
                <c:pt idx="75">
                  <c:v>1500</c:v>
                </c:pt>
                <c:pt idx="76">
                  <c:v>1500</c:v>
                </c:pt>
                <c:pt idx="77">
                  <c:v>1500</c:v>
                </c:pt>
                <c:pt idx="78">
                  <c:v>1500</c:v>
                </c:pt>
                <c:pt idx="79">
                  <c:v>1500</c:v>
                </c:pt>
                <c:pt idx="80">
                  <c:v>1500</c:v>
                </c:pt>
                <c:pt idx="81">
                  <c:v>1500</c:v>
                </c:pt>
                <c:pt idx="82">
                  <c:v>1500</c:v>
                </c:pt>
                <c:pt idx="83">
                  <c:v>1500</c:v>
                </c:pt>
                <c:pt idx="84">
                  <c:v>1500</c:v>
                </c:pt>
                <c:pt idx="85">
                  <c:v>1500</c:v>
                </c:pt>
                <c:pt idx="86">
                  <c:v>1500</c:v>
                </c:pt>
                <c:pt idx="87">
                  <c:v>1500</c:v>
                </c:pt>
                <c:pt idx="88">
                  <c:v>1500</c:v>
                </c:pt>
                <c:pt idx="89">
                  <c:v>1500</c:v>
                </c:pt>
                <c:pt idx="90">
                  <c:v>1500</c:v>
                </c:pt>
                <c:pt idx="91">
                  <c:v>1500</c:v>
                </c:pt>
                <c:pt idx="92">
                  <c:v>1500</c:v>
                </c:pt>
                <c:pt idx="93">
                  <c:v>1500</c:v>
                </c:pt>
                <c:pt idx="94">
                  <c:v>1500</c:v>
                </c:pt>
                <c:pt idx="95">
                  <c:v>1500</c:v>
                </c:pt>
                <c:pt idx="96">
                  <c:v>1500</c:v>
                </c:pt>
                <c:pt idx="97">
                  <c:v>1500</c:v>
                </c:pt>
                <c:pt idx="98">
                  <c:v>1500</c:v>
                </c:pt>
                <c:pt idx="99">
                  <c:v>1500</c:v>
                </c:pt>
                <c:pt idx="100">
                  <c:v>1500</c:v>
                </c:pt>
                <c:pt idx="101">
                  <c:v>1500</c:v>
                </c:pt>
                <c:pt idx="102">
                  <c:v>1500</c:v>
                </c:pt>
                <c:pt idx="103">
                  <c:v>1500</c:v>
                </c:pt>
                <c:pt idx="104">
                  <c:v>1500</c:v>
                </c:pt>
                <c:pt idx="105">
                  <c:v>1500</c:v>
                </c:pt>
                <c:pt idx="106">
                  <c:v>1500</c:v>
                </c:pt>
                <c:pt idx="107">
                  <c:v>1500</c:v>
                </c:pt>
                <c:pt idx="108">
                  <c:v>1500</c:v>
                </c:pt>
                <c:pt idx="109">
                  <c:v>1500</c:v>
                </c:pt>
                <c:pt idx="110">
                  <c:v>1500</c:v>
                </c:pt>
                <c:pt idx="111">
                  <c:v>1500</c:v>
                </c:pt>
                <c:pt idx="112">
                  <c:v>1500</c:v>
                </c:pt>
                <c:pt idx="113">
                  <c:v>1500</c:v>
                </c:pt>
                <c:pt idx="114">
                  <c:v>1500</c:v>
                </c:pt>
                <c:pt idx="115">
                  <c:v>1500</c:v>
                </c:pt>
                <c:pt idx="116">
                  <c:v>1500</c:v>
                </c:pt>
                <c:pt idx="117">
                  <c:v>1500</c:v>
                </c:pt>
                <c:pt idx="118">
                  <c:v>1500</c:v>
                </c:pt>
                <c:pt idx="119">
                  <c:v>1500</c:v>
                </c:pt>
                <c:pt idx="120">
                  <c:v>1500</c:v>
                </c:pt>
                <c:pt idx="121">
                  <c:v>1500</c:v>
                </c:pt>
                <c:pt idx="122">
                  <c:v>1500</c:v>
                </c:pt>
                <c:pt idx="123">
                  <c:v>1500</c:v>
                </c:pt>
                <c:pt idx="124">
                  <c:v>1500</c:v>
                </c:pt>
                <c:pt idx="125">
                  <c:v>1500</c:v>
                </c:pt>
                <c:pt idx="126">
                  <c:v>1500</c:v>
                </c:pt>
                <c:pt idx="127">
                  <c:v>1500</c:v>
                </c:pt>
                <c:pt idx="128">
                  <c:v>1500</c:v>
                </c:pt>
                <c:pt idx="129">
                  <c:v>1500</c:v>
                </c:pt>
                <c:pt idx="130">
                  <c:v>1500</c:v>
                </c:pt>
                <c:pt idx="131">
                  <c:v>1500</c:v>
                </c:pt>
                <c:pt idx="132">
                  <c:v>1500</c:v>
                </c:pt>
                <c:pt idx="133">
                  <c:v>1500</c:v>
                </c:pt>
                <c:pt idx="134">
                  <c:v>1500</c:v>
                </c:pt>
                <c:pt idx="135">
                  <c:v>1500</c:v>
                </c:pt>
                <c:pt idx="136">
                  <c:v>1500</c:v>
                </c:pt>
                <c:pt idx="137">
                  <c:v>1500</c:v>
                </c:pt>
                <c:pt idx="138">
                  <c:v>1500</c:v>
                </c:pt>
                <c:pt idx="139">
                  <c:v>1500</c:v>
                </c:pt>
                <c:pt idx="140">
                  <c:v>1500</c:v>
                </c:pt>
                <c:pt idx="141">
                  <c:v>1500</c:v>
                </c:pt>
                <c:pt idx="142">
                  <c:v>1500</c:v>
                </c:pt>
                <c:pt idx="143">
                  <c:v>1500</c:v>
                </c:pt>
                <c:pt idx="144">
                  <c:v>1500</c:v>
                </c:pt>
                <c:pt idx="145">
                  <c:v>1500</c:v>
                </c:pt>
                <c:pt idx="146">
                  <c:v>1500</c:v>
                </c:pt>
                <c:pt idx="147">
                  <c:v>1500</c:v>
                </c:pt>
                <c:pt idx="148">
                  <c:v>1500</c:v>
                </c:pt>
                <c:pt idx="149">
                  <c:v>1500</c:v>
                </c:pt>
                <c:pt idx="150">
                  <c:v>1500</c:v>
                </c:pt>
                <c:pt idx="151">
                  <c:v>1500</c:v>
                </c:pt>
                <c:pt idx="152">
                  <c:v>1500</c:v>
                </c:pt>
                <c:pt idx="153">
                  <c:v>1500</c:v>
                </c:pt>
                <c:pt idx="154">
                  <c:v>1500</c:v>
                </c:pt>
                <c:pt idx="155">
                  <c:v>1500</c:v>
                </c:pt>
                <c:pt idx="156">
                  <c:v>1500</c:v>
                </c:pt>
                <c:pt idx="157">
                  <c:v>1500</c:v>
                </c:pt>
                <c:pt idx="158">
                  <c:v>1500</c:v>
                </c:pt>
                <c:pt idx="159">
                  <c:v>1500</c:v>
                </c:pt>
                <c:pt idx="160">
                  <c:v>1500</c:v>
                </c:pt>
                <c:pt idx="161">
                  <c:v>1500</c:v>
                </c:pt>
                <c:pt idx="162">
                  <c:v>1500</c:v>
                </c:pt>
                <c:pt idx="163">
                  <c:v>1500</c:v>
                </c:pt>
                <c:pt idx="164">
                  <c:v>1500</c:v>
                </c:pt>
                <c:pt idx="165">
                  <c:v>1500</c:v>
                </c:pt>
                <c:pt idx="166">
                  <c:v>1500</c:v>
                </c:pt>
                <c:pt idx="167">
                  <c:v>1500</c:v>
                </c:pt>
                <c:pt idx="168">
                  <c:v>1500</c:v>
                </c:pt>
                <c:pt idx="169">
                  <c:v>1500</c:v>
                </c:pt>
                <c:pt idx="170">
                  <c:v>1500</c:v>
                </c:pt>
                <c:pt idx="171">
                  <c:v>1500</c:v>
                </c:pt>
                <c:pt idx="172">
                  <c:v>1500</c:v>
                </c:pt>
                <c:pt idx="173">
                  <c:v>1500</c:v>
                </c:pt>
                <c:pt idx="174">
                  <c:v>1500</c:v>
                </c:pt>
                <c:pt idx="175">
                  <c:v>1500</c:v>
                </c:pt>
                <c:pt idx="176">
                  <c:v>1500</c:v>
                </c:pt>
                <c:pt idx="177">
                  <c:v>1500</c:v>
                </c:pt>
                <c:pt idx="178">
                  <c:v>1500</c:v>
                </c:pt>
                <c:pt idx="179">
                  <c:v>1500</c:v>
                </c:pt>
                <c:pt idx="180">
                  <c:v>1500</c:v>
                </c:pt>
                <c:pt idx="181">
                  <c:v>1500</c:v>
                </c:pt>
                <c:pt idx="182">
                  <c:v>1500</c:v>
                </c:pt>
                <c:pt idx="183">
                  <c:v>1500</c:v>
                </c:pt>
                <c:pt idx="184">
                  <c:v>1500</c:v>
                </c:pt>
                <c:pt idx="185">
                  <c:v>1500</c:v>
                </c:pt>
                <c:pt idx="186">
                  <c:v>1500</c:v>
                </c:pt>
                <c:pt idx="187">
                  <c:v>1500</c:v>
                </c:pt>
                <c:pt idx="188">
                  <c:v>1500</c:v>
                </c:pt>
                <c:pt idx="189">
                  <c:v>1500</c:v>
                </c:pt>
                <c:pt idx="190">
                  <c:v>1500</c:v>
                </c:pt>
                <c:pt idx="191">
                  <c:v>1500</c:v>
                </c:pt>
                <c:pt idx="192">
                  <c:v>1500</c:v>
                </c:pt>
                <c:pt idx="193">
                  <c:v>1500</c:v>
                </c:pt>
                <c:pt idx="194">
                  <c:v>1500</c:v>
                </c:pt>
                <c:pt idx="195">
                  <c:v>1500</c:v>
                </c:pt>
                <c:pt idx="196">
                  <c:v>1500</c:v>
                </c:pt>
                <c:pt idx="197">
                  <c:v>1500</c:v>
                </c:pt>
                <c:pt idx="198">
                  <c:v>1500</c:v>
                </c:pt>
                <c:pt idx="199">
                  <c:v>12000</c:v>
                </c:pt>
              </c:numCache>
            </c:numRef>
          </c:xVal>
          <c:yVal>
            <c:numRef>
              <c:f>曲線Lever計算!$G$8:$G$207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0.41254125412541254</c:v>
                </c:pt>
                <c:pt idx="5">
                  <c:v>0.28288543140028288</c:v>
                </c:pt>
                <c:pt idx="6">
                  <c:v>0.25</c:v>
                </c:pt>
                <c:pt idx="7">
                  <c:v>0.25</c:v>
                </c:pt>
                <c:pt idx="8">
                  <c:v>0.25</c:v>
                </c:pt>
                <c:pt idx="9">
                  <c:v>0.25</c:v>
                </c:pt>
                <c:pt idx="10">
                  <c:v>0.25</c:v>
                </c:pt>
                <c:pt idx="11">
                  <c:v>0.25</c:v>
                </c:pt>
                <c:pt idx="12">
                  <c:v>0.25</c:v>
                </c:pt>
                <c:pt idx="13">
                  <c:v>0.25</c:v>
                </c:pt>
                <c:pt idx="14">
                  <c:v>0.25</c:v>
                </c:pt>
                <c:pt idx="15">
                  <c:v>0.25</c:v>
                </c:pt>
                <c:pt idx="16">
                  <c:v>0.25</c:v>
                </c:pt>
                <c:pt idx="17">
                  <c:v>0.25</c:v>
                </c:pt>
                <c:pt idx="18">
                  <c:v>0.25</c:v>
                </c:pt>
                <c:pt idx="19">
                  <c:v>0.25</c:v>
                </c:pt>
                <c:pt idx="20">
                  <c:v>0.25</c:v>
                </c:pt>
                <c:pt idx="21">
                  <c:v>0.25</c:v>
                </c:pt>
                <c:pt idx="22">
                  <c:v>0.25</c:v>
                </c:pt>
                <c:pt idx="23">
                  <c:v>0.25</c:v>
                </c:pt>
                <c:pt idx="24">
                  <c:v>0.25</c:v>
                </c:pt>
                <c:pt idx="25">
                  <c:v>0.25</c:v>
                </c:pt>
                <c:pt idx="26">
                  <c:v>0.25</c:v>
                </c:pt>
                <c:pt idx="27">
                  <c:v>0.25</c:v>
                </c:pt>
                <c:pt idx="28">
                  <c:v>0.25</c:v>
                </c:pt>
                <c:pt idx="29">
                  <c:v>0.25</c:v>
                </c:pt>
                <c:pt idx="30">
                  <c:v>0.25</c:v>
                </c:pt>
                <c:pt idx="31">
                  <c:v>0.25</c:v>
                </c:pt>
                <c:pt idx="32">
                  <c:v>0.25</c:v>
                </c:pt>
                <c:pt idx="33">
                  <c:v>0.25</c:v>
                </c:pt>
                <c:pt idx="34">
                  <c:v>0.25</c:v>
                </c:pt>
                <c:pt idx="35">
                  <c:v>0.25</c:v>
                </c:pt>
                <c:pt idx="36">
                  <c:v>0.25</c:v>
                </c:pt>
                <c:pt idx="37">
                  <c:v>0.25</c:v>
                </c:pt>
                <c:pt idx="38">
                  <c:v>0.25</c:v>
                </c:pt>
                <c:pt idx="39">
                  <c:v>0.25</c:v>
                </c:pt>
                <c:pt idx="40">
                  <c:v>0.25</c:v>
                </c:pt>
                <c:pt idx="41">
                  <c:v>0.25</c:v>
                </c:pt>
                <c:pt idx="42">
                  <c:v>0.25</c:v>
                </c:pt>
                <c:pt idx="43">
                  <c:v>0.25</c:v>
                </c:pt>
                <c:pt idx="44">
                  <c:v>0.25</c:v>
                </c:pt>
                <c:pt idx="45">
                  <c:v>0.25</c:v>
                </c:pt>
                <c:pt idx="46">
                  <c:v>0.25</c:v>
                </c:pt>
                <c:pt idx="47">
                  <c:v>0.25</c:v>
                </c:pt>
                <c:pt idx="48">
                  <c:v>0.25</c:v>
                </c:pt>
                <c:pt idx="49">
                  <c:v>0.25</c:v>
                </c:pt>
                <c:pt idx="50">
                  <c:v>0.25</c:v>
                </c:pt>
                <c:pt idx="51">
                  <c:v>0.25</c:v>
                </c:pt>
                <c:pt idx="52">
                  <c:v>0.25</c:v>
                </c:pt>
                <c:pt idx="53">
                  <c:v>0.25</c:v>
                </c:pt>
                <c:pt idx="54">
                  <c:v>0.25</c:v>
                </c:pt>
                <c:pt idx="55">
                  <c:v>0.25</c:v>
                </c:pt>
                <c:pt idx="56">
                  <c:v>0.25</c:v>
                </c:pt>
                <c:pt idx="57">
                  <c:v>0.25</c:v>
                </c:pt>
                <c:pt idx="58">
                  <c:v>0.25</c:v>
                </c:pt>
                <c:pt idx="59">
                  <c:v>0.25</c:v>
                </c:pt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0.25</c:v>
                </c:pt>
                <c:pt idx="65">
                  <c:v>0.25</c:v>
                </c:pt>
                <c:pt idx="66">
                  <c:v>0.25</c:v>
                </c:pt>
                <c:pt idx="67">
                  <c:v>0.25</c:v>
                </c:pt>
                <c:pt idx="68">
                  <c:v>0.25</c:v>
                </c:pt>
                <c:pt idx="69">
                  <c:v>0.25</c:v>
                </c:pt>
                <c:pt idx="70">
                  <c:v>0.25</c:v>
                </c:pt>
                <c:pt idx="71">
                  <c:v>0.25</c:v>
                </c:pt>
                <c:pt idx="72">
                  <c:v>0.25</c:v>
                </c:pt>
                <c:pt idx="73">
                  <c:v>0.25</c:v>
                </c:pt>
                <c:pt idx="74">
                  <c:v>0.25</c:v>
                </c:pt>
                <c:pt idx="75">
                  <c:v>0.25</c:v>
                </c:pt>
                <c:pt idx="76">
                  <c:v>0.25</c:v>
                </c:pt>
                <c:pt idx="77">
                  <c:v>0.25</c:v>
                </c:pt>
                <c:pt idx="78">
                  <c:v>0.25</c:v>
                </c:pt>
                <c:pt idx="79">
                  <c:v>0.25</c:v>
                </c:pt>
                <c:pt idx="80">
                  <c:v>0.25</c:v>
                </c:pt>
                <c:pt idx="81">
                  <c:v>0.25</c:v>
                </c:pt>
                <c:pt idx="82">
                  <c:v>0.25</c:v>
                </c:pt>
                <c:pt idx="83">
                  <c:v>0.25</c:v>
                </c:pt>
                <c:pt idx="84">
                  <c:v>0.25</c:v>
                </c:pt>
                <c:pt idx="85">
                  <c:v>0.25</c:v>
                </c:pt>
                <c:pt idx="86">
                  <c:v>0.25</c:v>
                </c:pt>
                <c:pt idx="87">
                  <c:v>0.25</c:v>
                </c:pt>
                <c:pt idx="88">
                  <c:v>0.25</c:v>
                </c:pt>
                <c:pt idx="89">
                  <c:v>0.25</c:v>
                </c:pt>
                <c:pt idx="90">
                  <c:v>0.25</c:v>
                </c:pt>
                <c:pt idx="91">
                  <c:v>0.25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  <c:pt idx="96">
                  <c:v>0.25</c:v>
                </c:pt>
                <c:pt idx="97">
                  <c:v>0.25</c:v>
                </c:pt>
                <c:pt idx="98">
                  <c:v>0.25</c:v>
                </c:pt>
                <c:pt idx="99">
                  <c:v>0.25</c:v>
                </c:pt>
                <c:pt idx="100">
                  <c:v>0.25</c:v>
                </c:pt>
                <c:pt idx="101">
                  <c:v>0.25</c:v>
                </c:pt>
                <c:pt idx="102">
                  <c:v>0.25</c:v>
                </c:pt>
                <c:pt idx="103">
                  <c:v>0.25</c:v>
                </c:pt>
                <c:pt idx="104">
                  <c:v>0.25</c:v>
                </c:pt>
                <c:pt idx="105">
                  <c:v>0.25</c:v>
                </c:pt>
                <c:pt idx="106">
                  <c:v>0.25</c:v>
                </c:pt>
                <c:pt idx="107">
                  <c:v>0.25</c:v>
                </c:pt>
                <c:pt idx="108">
                  <c:v>0.25</c:v>
                </c:pt>
                <c:pt idx="109">
                  <c:v>0.25</c:v>
                </c:pt>
                <c:pt idx="110">
                  <c:v>0.25</c:v>
                </c:pt>
                <c:pt idx="111">
                  <c:v>0.25</c:v>
                </c:pt>
                <c:pt idx="112">
                  <c:v>0.25</c:v>
                </c:pt>
                <c:pt idx="113">
                  <c:v>0.25</c:v>
                </c:pt>
                <c:pt idx="114">
                  <c:v>0.25</c:v>
                </c:pt>
                <c:pt idx="115">
                  <c:v>0.25</c:v>
                </c:pt>
                <c:pt idx="116">
                  <c:v>0.25</c:v>
                </c:pt>
                <c:pt idx="117">
                  <c:v>0.25</c:v>
                </c:pt>
                <c:pt idx="118">
                  <c:v>0.25</c:v>
                </c:pt>
                <c:pt idx="119">
                  <c:v>0.25</c:v>
                </c:pt>
                <c:pt idx="120">
                  <c:v>0.25</c:v>
                </c:pt>
                <c:pt idx="121">
                  <c:v>0.25</c:v>
                </c:pt>
                <c:pt idx="122">
                  <c:v>0.25</c:v>
                </c:pt>
                <c:pt idx="123">
                  <c:v>0.25</c:v>
                </c:pt>
                <c:pt idx="124">
                  <c:v>0.25</c:v>
                </c:pt>
                <c:pt idx="125">
                  <c:v>0.25</c:v>
                </c:pt>
                <c:pt idx="126">
                  <c:v>0.25</c:v>
                </c:pt>
                <c:pt idx="127">
                  <c:v>0.25</c:v>
                </c:pt>
                <c:pt idx="128">
                  <c:v>0.25</c:v>
                </c:pt>
                <c:pt idx="129">
                  <c:v>0.25</c:v>
                </c:pt>
                <c:pt idx="130">
                  <c:v>0.25</c:v>
                </c:pt>
                <c:pt idx="131">
                  <c:v>0.25</c:v>
                </c:pt>
                <c:pt idx="132">
                  <c:v>0.25</c:v>
                </c:pt>
                <c:pt idx="133">
                  <c:v>0.25</c:v>
                </c:pt>
                <c:pt idx="134">
                  <c:v>0.25</c:v>
                </c:pt>
                <c:pt idx="135">
                  <c:v>0.25</c:v>
                </c:pt>
                <c:pt idx="136">
                  <c:v>0.25</c:v>
                </c:pt>
                <c:pt idx="137">
                  <c:v>0.25</c:v>
                </c:pt>
                <c:pt idx="138">
                  <c:v>0.25</c:v>
                </c:pt>
                <c:pt idx="139">
                  <c:v>0.25</c:v>
                </c:pt>
                <c:pt idx="140">
                  <c:v>0.25</c:v>
                </c:pt>
                <c:pt idx="141">
                  <c:v>0.25</c:v>
                </c:pt>
                <c:pt idx="142">
                  <c:v>0.25</c:v>
                </c:pt>
                <c:pt idx="143">
                  <c:v>0.25</c:v>
                </c:pt>
                <c:pt idx="144">
                  <c:v>0.25</c:v>
                </c:pt>
                <c:pt idx="145">
                  <c:v>0.25</c:v>
                </c:pt>
                <c:pt idx="146">
                  <c:v>0.25</c:v>
                </c:pt>
                <c:pt idx="147">
                  <c:v>0.25</c:v>
                </c:pt>
                <c:pt idx="148">
                  <c:v>0.25</c:v>
                </c:pt>
                <c:pt idx="149">
                  <c:v>0.25</c:v>
                </c:pt>
                <c:pt idx="150">
                  <c:v>0.25</c:v>
                </c:pt>
                <c:pt idx="151">
                  <c:v>0.25</c:v>
                </c:pt>
                <c:pt idx="152">
                  <c:v>0.25</c:v>
                </c:pt>
                <c:pt idx="153">
                  <c:v>0.25</c:v>
                </c:pt>
                <c:pt idx="154">
                  <c:v>0.25</c:v>
                </c:pt>
                <c:pt idx="155">
                  <c:v>0.25</c:v>
                </c:pt>
                <c:pt idx="156">
                  <c:v>0.25</c:v>
                </c:pt>
                <c:pt idx="157">
                  <c:v>0.25</c:v>
                </c:pt>
                <c:pt idx="158">
                  <c:v>0.25</c:v>
                </c:pt>
                <c:pt idx="159">
                  <c:v>0.25</c:v>
                </c:pt>
                <c:pt idx="160">
                  <c:v>0.25</c:v>
                </c:pt>
                <c:pt idx="161">
                  <c:v>0.25</c:v>
                </c:pt>
                <c:pt idx="162">
                  <c:v>0.25</c:v>
                </c:pt>
                <c:pt idx="163">
                  <c:v>0.25</c:v>
                </c:pt>
                <c:pt idx="164">
                  <c:v>0.25</c:v>
                </c:pt>
                <c:pt idx="165">
                  <c:v>0.25</c:v>
                </c:pt>
                <c:pt idx="166">
                  <c:v>0.25</c:v>
                </c:pt>
                <c:pt idx="167">
                  <c:v>0.25</c:v>
                </c:pt>
                <c:pt idx="168">
                  <c:v>0.25</c:v>
                </c:pt>
                <c:pt idx="169">
                  <c:v>0.25</c:v>
                </c:pt>
                <c:pt idx="170">
                  <c:v>0.25</c:v>
                </c:pt>
                <c:pt idx="171">
                  <c:v>0.25</c:v>
                </c:pt>
                <c:pt idx="172">
                  <c:v>0.25</c:v>
                </c:pt>
                <c:pt idx="173">
                  <c:v>0.25</c:v>
                </c:pt>
                <c:pt idx="174">
                  <c:v>0.25</c:v>
                </c:pt>
                <c:pt idx="175">
                  <c:v>0.25</c:v>
                </c:pt>
                <c:pt idx="176">
                  <c:v>0.25</c:v>
                </c:pt>
                <c:pt idx="177">
                  <c:v>0.25</c:v>
                </c:pt>
                <c:pt idx="178">
                  <c:v>0.25</c:v>
                </c:pt>
                <c:pt idx="179">
                  <c:v>0.25</c:v>
                </c:pt>
                <c:pt idx="180">
                  <c:v>0.25</c:v>
                </c:pt>
                <c:pt idx="181">
                  <c:v>0.25</c:v>
                </c:pt>
                <c:pt idx="182">
                  <c:v>0.25</c:v>
                </c:pt>
                <c:pt idx="183">
                  <c:v>0.25</c:v>
                </c:pt>
                <c:pt idx="184">
                  <c:v>0.25</c:v>
                </c:pt>
                <c:pt idx="185">
                  <c:v>0.25</c:v>
                </c:pt>
                <c:pt idx="186">
                  <c:v>0.25</c:v>
                </c:pt>
                <c:pt idx="187">
                  <c:v>0.25</c:v>
                </c:pt>
                <c:pt idx="188">
                  <c:v>0.25</c:v>
                </c:pt>
                <c:pt idx="189">
                  <c:v>0.25</c:v>
                </c:pt>
                <c:pt idx="190">
                  <c:v>0.25</c:v>
                </c:pt>
                <c:pt idx="191">
                  <c:v>0.25</c:v>
                </c:pt>
                <c:pt idx="192">
                  <c:v>0.25</c:v>
                </c:pt>
                <c:pt idx="193">
                  <c:v>0.25</c:v>
                </c:pt>
                <c:pt idx="194">
                  <c:v>0.25</c:v>
                </c:pt>
                <c:pt idx="195">
                  <c:v>0.25</c:v>
                </c:pt>
                <c:pt idx="196">
                  <c:v>0.25</c:v>
                </c:pt>
                <c:pt idx="197">
                  <c:v>0.25</c:v>
                </c:pt>
                <c:pt idx="198">
                  <c:v>0.25</c:v>
                </c:pt>
                <c:pt idx="199">
                  <c:v>0.25</c:v>
                </c:pt>
              </c:numCache>
            </c:numRef>
          </c:yVal>
          <c:smooth val="0"/>
        </c:ser>
        <c:ser>
          <c:idx val="14"/>
          <c:order val="2"/>
          <c:tx>
            <c:strRef>
              <c:f>协调曲线图!$D$87</c:f>
              <c:strCache>
                <c:ptCount val="1"/>
                <c:pt idx="0">
                  <c:v>--------------------6kvC1变进线</c:v>
                </c:pt>
              </c:strCache>
            </c:strRef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2.8534824132308369E-2"/>
                  <c:y val="-0.1136304489264803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66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曲線Lever計算!$N$8:$N$207</c:f>
              <c:numCache>
                <c:formatCode>General</c:formatCode>
                <c:ptCount val="200"/>
                <c:pt idx="0">
                  <c:v>168</c:v>
                </c:pt>
                <c:pt idx="1">
                  <c:v>280</c:v>
                </c:pt>
                <c:pt idx="2">
                  <c:v>420</c:v>
                </c:pt>
                <c:pt idx="3">
                  <c:v>560</c:v>
                </c:pt>
                <c:pt idx="4">
                  <c:v>700</c:v>
                </c:pt>
                <c:pt idx="5">
                  <c:v>840</c:v>
                </c:pt>
                <c:pt idx="6">
                  <c:v>980</c:v>
                </c:pt>
                <c:pt idx="7">
                  <c:v>1120</c:v>
                </c:pt>
                <c:pt idx="8">
                  <c:v>1260</c:v>
                </c:pt>
                <c:pt idx="9">
                  <c:v>1400</c:v>
                </c:pt>
                <c:pt idx="10">
                  <c:v>1540</c:v>
                </c:pt>
                <c:pt idx="11">
                  <c:v>1680</c:v>
                </c:pt>
                <c:pt idx="12">
                  <c:v>1820</c:v>
                </c:pt>
                <c:pt idx="13">
                  <c:v>1960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2000</c:v>
                </c:pt>
                <c:pt idx="23">
                  <c:v>2000</c:v>
                </c:pt>
                <c:pt idx="24">
                  <c:v>2000</c:v>
                </c:pt>
                <c:pt idx="25">
                  <c:v>2000</c:v>
                </c:pt>
                <c:pt idx="26">
                  <c:v>2000</c:v>
                </c:pt>
                <c:pt idx="27">
                  <c:v>2000</c:v>
                </c:pt>
                <c:pt idx="28">
                  <c:v>2000</c:v>
                </c:pt>
                <c:pt idx="29">
                  <c:v>2000</c:v>
                </c:pt>
                <c:pt idx="30">
                  <c:v>2000</c:v>
                </c:pt>
                <c:pt idx="31">
                  <c:v>2000</c:v>
                </c:pt>
                <c:pt idx="32">
                  <c:v>2000</c:v>
                </c:pt>
                <c:pt idx="33">
                  <c:v>2000</c:v>
                </c:pt>
                <c:pt idx="34">
                  <c:v>2000</c:v>
                </c:pt>
                <c:pt idx="35">
                  <c:v>2000</c:v>
                </c:pt>
                <c:pt idx="36">
                  <c:v>2000</c:v>
                </c:pt>
                <c:pt idx="37">
                  <c:v>2000</c:v>
                </c:pt>
                <c:pt idx="38">
                  <c:v>2000</c:v>
                </c:pt>
                <c:pt idx="39">
                  <c:v>2000</c:v>
                </c:pt>
                <c:pt idx="40">
                  <c:v>2000</c:v>
                </c:pt>
                <c:pt idx="41">
                  <c:v>2000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2000</c:v>
                </c:pt>
                <c:pt idx="61">
                  <c:v>2000</c:v>
                </c:pt>
                <c:pt idx="62">
                  <c:v>2000</c:v>
                </c:pt>
                <c:pt idx="63">
                  <c:v>2000</c:v>
                </c:pt>
                <c:pt idx="64">
                  <c:v>2000</c:v>
                </c:pt>
                <c:pt idx="65">
                  <c:v>2000</c:v>
                </c:pt>
                <c:pt idx="66">
                  <c:v>2000</c:v>
                </c:pt>
                <c:pt idx="67">
                  <c:v>2000</c:v>
                </c:pt>
                <c:pt idx="68">
                  <c:v>2000</c:v>
                </c:pt>
                <c:pt idx="69">
                  <c:v>2000</c:v>
                </c:pt>
                <c:pt idx="70">
                  <c:v>2000</c:v>
                </c:pt>
                <c:pt idx="71">
                  <c:v>2000</c:v>
                </c:pt>
                <c:pt idx="72">
                  <c:v>2000</c:v>
                </c:pt>
                <c:pt idx="73">
                  <c:v>2000</c:v>
                </c:pt>
                <c:pt idx="74">
                  <c:v>2000</c:v>
                </c:pt>
                <c:pt idx="75">
                  <c:v>2000</c:v>
                </c:pt>
                <c:pt idx="76">
                  <c:v>2000</c:v>
                </c:pt>
                <c:pt idx="77">
                  <c:v>2000</c:v>
                </c:pt>
                <c:pt idx="78">
                  <c:v>2000</c:v>
                </c:pt>
                <c:pt idx="79">
                  <c:v>2000</c:v>
                </c:pt>
                <c:pt idx="80">
                  <c:v>2000</c:v>
                </c:pt>
                <c:pt idx="81">
                  <c:v>2000</c:v>
                </c:pt>
                <c:pt idx="82">
                  <c:v>2000</c:v>
                </c:pt>
                <c:pt idx="83">
                  <c:v>2000</c:v>
                </c:pt>
                <c:pt idx="84">
                  <c:v>2000</c:v>
                </c:pt>
                <c:pt idx="85">
                  <c:v>2000</c:v>
                </c:pt>
                <c:pt idx="86">
                  <c:v>2000</c:v>
                </c:pt>
                <c:pt idx="87">
                  <c:v>2000</c:v>
                </c:pt>
                <c:pt idx="88">
                  <c:v>2000</c:v>
                </c:pt>
                <c:pt idx="89">
                  <c:v>2000</c:v>
                </c:pt>
                <c:pt idx="90">
                  <c:v>2000</c:v>
                </c:pt>
                <c:pt idx="91">
                  <c:v>2000</c:v>
                </c:pt>
                <c:pt idx="92">
                  <c:v>2000</c:v>
                </c:pt>
                <c:pt idx="93">
                  <c:v>2000</c:v>
                </c:pt>
                <c:pt idx="94">
                  <c:v>2000</c:v>
                </c:pt>
                <c:pt idx="95">
                  <c:v>2000</c:v>
                </c:pt>
                <c:pt idx="96">
                  <c:v>2000</c:v>
                </c:pt>
                <c:pt idx="97">
                  <c:v>2000</c:v>
                </c:pt>
                <c:pt idx="98">
                  <c:v>2000</c:v>
                </c:pt>
                <c:pt idx="99">
                  <c:v>2000</c:v>
                </c:pt>
                <c:pt idx="100">
                  <c:v>2000</c:v>
                </c:pt>
                <c:pt idx="101">
                  <c:v>2000</c:v>
                </c:pt>
                <c:pt idx="102">
                  <c:v>2000</c:v>
                </c:pt>
                <c:pt idx="103">
                  <c:v>2000</c:v>
                </c:pt>
                <c:pt idx="104">
                  <c:v>2000</c:v>
                </c:pt>
                <c:pt idx="105">
                  <c:v>2000</c:v>
                </c:pt>
                <c:pt idx="106">
                  <c:v>2000</c:v>
                </c:pt>
                <c:pt idx="107">
                  <c:v>2000</c:v>
                </c:pt>
                <c:pt idx="108">
                  <c:v>2000</c:v>
                </c:pt>
                <c:pt idx="109">
                  <c:v>2000</c:v>
                </c:pt>
                <c:pt idx="110">
                  <c:v>2000</c:v>
                </c:pt>
                <c:pt idx="111">
                  <c:v>2000</c:v>
                </c:pt>
                <c:pt idx="112">
                  <c:v>2000</c:v>
                </c:pt>
                <c:pt idx="113">
                  <c:v>2000</c:v>
                </c:pt>
                <c:pt idx="114">
                  <c:v>2000</c:v>
                </c:pt>
                <c:pt idx="115">
                  <c:v>2000</c:v>
                </c:pt>
                <c:pt idx="116">
                  <c:v>2000</c:v>
                </c:pt>
                <c:pt idx="117">
                  <c:v>2000</c:v>
                </c:pt>
                <c:pt idx="118">
                  <c:v>2000</c:v>
                </c:pt>
                <c:pt idx="119">
                  <c:v>2000</c:v>
                </c:pt>
                <c:pt idx="120">
                  <c:v>2000</c:v>
                </c:pt>
                <c:pt idx="121">
                  <c:v>2000</c:v>
                </c:pt>
                <c:pt idx="122">
                  <c:v>2000</c:v>
                </c:pt>
                <c:pt idx="123">
                  <c:v>2000</c:v>
                </c:pt>
                <c:pt idx="124">
                  <c:v>2000</c:v>
                </c:pt>
                <c:pt idx="125">
                  <c:v>2000</c:v>
                </c:pt>
                <c:pt idx="126">
                  <c:v>2000</c:v>
                </c:pt>
                <c:pt idx="127">
                  <c:v>2000</c:v>
                </c:pt>
                <c:pt idx="128">
                  <c:v>2000</c:v>
                </c:pt>
                <c:pt idx="129">
                  <c:v>2000</c:v>
                </c:pt>
                <c:pt idx="130">
                  <c:v>2000</c:v>
                </c:pt>
                <c:pt idx="131">
                  <c:v>2000</c:v>
                </c:pt>
                <c:pt idx="132">
                  <c:v>2000</c:v>
                </c:pt>
                <c:pt idx="133">
                  <c:v>2000</c:v>
                </c:pt>
                <c:pt idx="134">
                  <c:v>2000</c:v>
                </c:pt>
                <c:pt idx="135">
                  <c:v>2000</c:v>
                </c:pt>
                <c:pt idx="136">
                  <c:v>2000</c:v>
                </c:pt>
                <c:pt idx="137">
                  <c:v>2000</c:v>
                </c:pt>
                <c:pt idx="138">
                  <c:v>2000</c:v>
                </c:pt>
                <c:pt idx="139">
                  <c:v>2000</c:v>
                </c:pt>
                <c:pt idx="140">
                  <c:v>2000</c:v>
                </c:pt>
                <c:pt idx="141">
                  <c:v>2000</c:v>
                </c:pt>
                <c:pt idx="142">
                  <c:v>2000</c:v>
                </c:pt>
                <c:pt idx="143">
                  <c:v>2000</c:v>
                </c:pt>
                <c:pt idx="144">
                  <c:v>2000</c:v>
                </c:pt>
                <c:pt idx="145">
                  <c:v>2000</c:v>
                </c:pt>
                <c:pt idx="146">
                  <c:v>2000</c:v>
                </c:pt>
                <c:pt idx="147">
                  <c:v>2000</c:v>
                </c:pt>
                <c:pt idx="148">
                  <c:v>2000</c:v>
                </c:pt>
                <c:pt idx="149">
                  <c:v>2000</c:v>
                </c:pt>
                <c:pt idx="150">
                  <c:v>2000</c:v>
                </c:pt>
                <c:pt idx="151">
                  <c:v>2000</c:v>
                </c:pt>
                <c:pt idx="152">
                  <c:v>2000</c:v>
                </c:pt>
                <c:pt idx="153">
                  <c:v>2000</c:v>
                </c:pt>
                <c:pt idx="154">
                  <c:v>2000</c:v>
                </c:pt>
                <c:pt idx="155">
                  <c:v>2000</c:v>
                </c:pt>
                <c:pt idx="156">
                  <c:v>2000</c:v>
                </c:pt>
                <c:pt idx="157">
                  <c:v>2000</c:v>
                </c:pt>
                <c:pt idx="158">
                  <c:v>2000</c:v>
                </c:pt>
                <c:pt idx="159">
                  <c:v>2000</c:v>
                </c:pt>
                <c:pt idx="160">
                  <c:v>2000</c:v>
                </c:pt>
                <c:pt idx="161">
                  <c:v>2000</c:v>
                </c:pt>
                <c:pt idx="162">
                  <c:v>2000</c:v>
                </c:pt>
                <c:pt idx="163">
                  <c:v>2000</c:v>
                </c:pt>
                <c:pt idx="164">
                  <c:v>2000</c:v>
                </c:pt>
                <c:pt idx="165">
                  <c:v>2000</c:v>
                </c:pt>
                <c:pt idx="166">
                  <c:v>2000</c:v>
                </c:pt>
                <c:pt idx="167">
                  <c:v>2000</c:v>
                </c:pt>
                <c:pt idx="168">
                  <c:v>2000</c:v>
                </c:pt>
                <c:pt idx="169">
                  <c:v>2000</c:v>
                </c:pt>
                <c:pt idx="170">
                  <c:v>2000</c:v>
                </c:pt>
                <c:pt idx="171">
                  <c:v>2000</c:v>
                </c:pt>
                <c:pt idx="172">
                  <c:v>2000</c:v>
                </c:pt>
                <c:pt idx="173">
                  <c:v>2000</c:v>
                </c:pt>
                <c:pt idx="174">
                  <c:v>2000</c:v>
                </c:pt>
                <c:pt idx="175">
                  <c:v>2000</c:v>
                </c:pt>
                <c:pt idx="176">
                  <c:v>2000</c:v>
                </c:pt>
                <c:pt idx="177">
                  <c:v>2000</c:v>
                </c:pt>
                <c:pt idx="178">
                  <c:v>2000</c:v>
                </c:pt>
                <c:pt idx="179">
                  <c:v>2000</c:v>
                </c:pt>
                <c:pt idx="180">
                  <c:v>2000</c:v>
                </c:pt>
                <c:pt idx="181">
                  <c:v>2000</c:v>
                </c:pt>
                <c:pt idx="182">
                  <c:v>2000</c:v>
                </c:pt>
                <c:pt idx="183">
                  <c:v>2000</c:v>
                </c:pt>
                <c:pt idx="184">
                  <c:v>2000</c:v>
                </c:pt>
                <c:pt idx="185">
                  <c:v>2000</c:v>
                </c:pt>
                <c:pt idx="186">
                  <c:v>2000</c:v>
                </c:pt>
                <c:pt idx="187">
                  <c:v>2000</c:v>
                </c:pt>
                <c:pt idx="188">
                  <c:v>2000</c:v>
                </c:pt>
                <c:pt idx="189">
                  <c:v>2000</c:v>
                </c:pt>
                <c:pt idx="190">
                  <c:v>2000</c:v>
                </c:pt>
                <c:pt idx="191">
                  <c:v>2000</c:v>
                </c:pt>
                <c:pt idx="192">
                  <c:v>2000</c:v>
                </c:pt>
                <c:pt idx="193">
                  <c:v>2000</c:v>
                </c:pt>
                <c:pt idx="194">
                  <c:v>2000</c:v>
                </c:pt>
                <c:pt idx="195">
                  <c:v>2000</c:v>
                </c:pt>
                <c:pt idx="196">
                  <c:v>2000</c:v>
                </c:pt>
                <c:pt idx="197">
                  <c:v>2000</c:v>
                </c:pt>
                <c:pt idx="198">
                  <c:v>2000</c:v>
                </c:pt>
                <c:pt idx="199">
                  <c:v>28000</c:v>
                </c:pt>
              </c:numCache>
            </c:numRef>
          </c:xVal>
          <c:yVal>
            <c:numRef>
              <c:f>曲線Lever計算!$L$8:$L$207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0.45</c:v>
                </c:pt>
                <c:pt idx="5">
                  <c:v>0.45</c:v>
                </c:pt>
                <c:pt idx="6">
                  <c:v>0.45</c:v>
                </c:pt>
                <c:pt idx="7">
                  <c:v>0.45</c:v>
                </c:pt>
                <c:pt idx="8">
                  <c:v>0.45</c:v>
                </c:pt>
                <c:pt idx="9">
                  <c:v>0.45</c:v>
                </c:pt>
                <c:pt idx="10">
                  <c:v>0.45</c:v>
                </c:pt>
                <c:pt idx="11">
                  <c:v>0.45</c:v>
                </c:pt>
                <c:pt idx="12">
                  <c:v>0.45</c:v>
                </c:pt>
                <c:pt idx="13">
                  <c:v>0.45</c:v>
                </c:pt>
                <c:pt idx="14">
                  <c:v>0.45</c:v>
                </c:pt>
                <c:pt idx="15">
                  <c:v>0.45</c:v>
                </c:pt>
                <c:pt idx="16">
                  <c:v>0.45</c:v>
                </c:pt>
                <c:pt idx="17">
                  <c:v>0.45</c:v>
                </c:pt>
                <c:pt idx="18">
                  <c:v>0.45</c:v>
                </c:pt>
                <c:pt idx="19">
                  <c:v>0.45</c:v>
                </c:pt>
                <c:pt idx="20">
                  <c:v>0.45</c:v>
                </c:pt>
                <c:pt idx="21">
                  <c:v>0.45</c:v>
                </c:pt>
                <c:pt idx="22">
                  <c:v>0.45</c:v>
                </c:pt>
                <c:pt idx="23">
                  <c:v>0.45</c:v>
                </c:pt>
                <c:pt idx="24">
                  <c:v>0.45</c:v>
                </c:pt>
                <c:pt idx="25">
                  <c:v>0.45</c:v>
                </c:pt>
                <c:pt idx="26">
                  <c:v>0.45</c:v>
                </c:pt>
                <c:pt idx="27">
                  <c:v>0.45</c:v>
                </c:pt>
                <c:pt idx="28">
                  <c:v>0.45</c:v>
                </c:pt>
                <c:pt idx="29">
                  <c:v>0.45</c:v>
                </c:pt>
                <c:pt idx="30">
                  <c:v>0.45</c:v>
                </c:pt>
                <c:pt idx="31">
                  <c:v>0.45</c:v>
                </c:pt>
                <c:pt idx="32">
                  <c:v>0.45</c:v>
                </c:pt>
                <c:pt idx="33">
                  <c:v>0.45</c:v>
                </c:pt>
                <c:pt idx="34">
                  <c:v>0.45</c:v>
                </c:pt>
                <c:pt idx="35">
                  <c:v>0.45</c:v>
                </c:pt>
                <c:pt idx="36">
                  <c:v>0.45</c:v>
                </c:pt>
                <c:pt idx="37">
                  <c:v>0.45</c:v>
                </c:pt>
                <c:pt idx="38">
                  <c:v>0.45</c:v>
                </c:pt>
                <c:pt idx="39">
                  <c:v>0.45</c:v>
                </c:pt>
                <c:pt idx="40">
                  <c:v>0.45</c:v>
                </c:pt>
                <c:pt idx="41">
                  <c:v>0.45</c:v>
                </c:pt>
                <c:pt idx="42">
                  <c:v>0.45</c:v>
                </c:pt>
                <c:pt idx="43">
                  <c:v>0.45</c:v>
                </c:pt>
                <c:pt idx="44">
                  <c:v>0.45</c:v>
                </c:pt>
                <c:pt idx="45">
                  <c:v>0.45</c:v>
                </c:pt>
                <c:pt idx="46">
                  <c:v>0.45</c:v>
                </c:pt>
                <c:pt idx="47">
                  <c:v>0.45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0.45</c:v>
                </c:pt>
                <c:pt idx="61">
                  <c:v>0.45</c:v>
                </c:pt>
                <c:pt idx="62">
                  <c:v>0.45</c:v>
                </c:pt>
                <c:pt idx="63">
                  <c:v>0.45</c:v>
                </c:pt>
                <c:pt idx="64">
                  <c:v>0.45</c:v>
                </c:pt>
                <c:pt idx="65">
                  <c:v>0.45</c:v>
                </c:pt>
                <c:pt idx="66">
                  <c:v>0.45</c:v>
                </c:pt>
                <c:pt idx="67">
                  <c:v>0.45</c:v>
                </c:pt>
                <c:pt idx="68">
                  <c:v>0.45</c:v>
                </c:pt>
                <c:pt idx="69">
                  <c:v>0.45</c:v>
                </c:pt>
                <c:pt idx="70">
                  <c:v>0.45</c:v>
                </c:pt>
                <c:pt idx="71">
                  <c:v>0.45</c:v>
                </c:pt>
                <c:pt idx="72">
                  <c:v>0.45</c:v>
                </c:pt>
                <c:pt idx="73">
                  <c:v>0.45</c:v>
                </c:pt>
                <c:pt idx="74">
                  <c:v>0.45</c:v>
                </c:pt>
                <c:pt idx="75">
                  <c:v>0.45</c:v>
                </c:pt>
                <c:pt idx="76">
                  <c:v>0.45</c:v>
                </c:pt>
                <c:pt idx="77">
                  <c:v>0.45</c:v>
                </c:pt>
                <c:pt idx="78">
                  <c:v>0.45</c:v>
                </c:pt>
                <c:pt idx="79">
                  <c:v>0.45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0.45</c:v>
                </c:pt>
                <c:pt idx="93">
                  <c:v>0.45</c:v>
                </c:pt>
                <c:pt idx="94">
                  <c:v>0.45</c:v>
                </c:pt>
                <c:pt idx="95">
                  <c:v>0.45</c:v>
                </c:pt>
                <c:pt idx="96">
                  <c:v>0.45</c:v>
                </c:pt>
                <c:pt idx="97">
                  <c:v>0.45</c:v>
                </c:pt>
                <c:pt idx="98">
                  <c:v>0.45</c:v>
                </c:pt>
                <c:pt idx="99">
                  <c:v>0.45</c:v>
                </c:pt>
                <c:pt idx="100">
                  <c:v>0.45</c:v>
                </c:pt>
                <c:pt idx="101">
                  <c:v>0.45</c:v>
                </c:pt>
                <c:pt idx="102">
                  <c:v>0.45</c:v>
                </c:pt>
                <c:pt idx="103">
                  <c:v>0.45</c:v>
                </c:pt>
                <c:pt idx="104">
                  <c:v>0.45</c:v>
                </c:pt>
                <c:pt idx="105">
                  <c:v>0.45</c:v>
                </c:pt>
                <c:pt idx="106">
                  <c:v>0.45</c:v>
                </c:pt>
                <c:pt idx="107">
                  <c:v>0.45</c:v>
                </c:pt>
                <c:pt idx="108">
                  <c:v>0.45</c:v>
                </c:pt>
                <c:pt idx="109">
                  <c:v>0.45</c:v>
                </c:pt>
                <c:pt idx="110">
                  <c:v>0.45</c:v>
                </c:pt>
                <c:pt idx="111">
                  <c:v>0.45</c:v>
                </c:pt>
                <c:pt idx="112">
                  <c:v>0.45</c:v>
                </c:pt>
                <c:pt idx="113">
                  <c:v>0.45</c:v>
                </c:pt>
                <c:pt idx="114">
                  <c:v>0.45</c:v>
                </c:pt>
                <c:pt idx="115">
                  <c:v>0.45</c:v>
                </c:pt>
                <c:pt idx="116">
                  <c:v>0.45</c:v>
                </c:pt>
                <c:pt idx="117">
                  <c:v>0.45</c:v>
                </c:pt>
                <c:pt idx="118">
                  <c:v>0.45</c:v>
                </c:pt>
                <c:pt idx="119">
                  <c:v>0.45</c:v>
                </c:pt>
                <c:pt idx="120">
                  <c:v>0.45</c:v>
                </c:pt>
                <c:pt idx="121">
                  <c:v>0.45</c:v>
                </c:pt>
                <c:pt idx="122">
                  <c:v>0.45</c:v>
                </c:pt>
                <c:pt idx="123">
                  <c:v>0.45</c:v>
                </c:pt>
                <c:pt idx="124">
                  <c:v>0.45</c:v>
                </c:pt>
                <c:pt idx="125">
                  <c:v>0.45</c:v>
                </c:pt>
                <c:pt idx="126">
                  <c:v>0.45</c:v>
                </c:pt>
                <c:pt idx="127">
                  <c:v>0.45</c:v>
                </c:pt>
                <c:pt idx="128">
                  <c:v>0.45</c:v>
                </c:pt>
                <c:pt idx="129">
                  <c:v>0.45</c:v>
                </c:pt>
                <c:pt idx="130">
                  <c:v>0.45</c:v>
                </c:pt>
                <c:pt idx="131">
                  <c:v>0.45</c:v>
                </c:pt>
                <c:pt idx="132">
                  <c:v>0.45</c:v>
                </c:pt>
                <c:pt idx="133">
                  <c:v>0.45</c:v>
                </c:pt>
                <c:pt idx="134">
                  <c:v>0.45</c:v>
                </c:pt>
                <c:pt idx="135">
                  <c:v>0.45</c:v>
                </c:pt>
                <c:pt idx="136">
                  <c:v>0.45</c:v>
                </c:pt>
                <c:pt idx="137">
                  <c:v>0.45</c:v>
                </c:pt>
                <c:pt idx="138">
                  <c:v>0.45</c:v>
                </c:pt>
                <c:pt idx="139">
                  <c:v>0.45</c:v>
                </c:pt>
                <c:pt idx="140">
                  <c:v>0.45</c:v>
                </c:pt>
                <c:pt idx="141">
                  <c:v>0.45</c:v>
                </c:pt>
                <c:pt idx="142">
                  <c:v>0.45</c:v>
                </c:pt>
                <c:pt idx="143">
                  <c:v>0.45</c:v>
                </c:pt>
                <c:pt idx="144">
                  <c:v>0.45</c:v>
                </c:pt>
                <c:pt idx="145">
                  <c:v>0.45</c:v>
                </c:pt>
                <c:pt idx="146">
                  <c:v>0.45</c:v>
                </c:pt>
                <c:pt idx="147">
                  <c:v>0.45</c:v>
                </c:pt>
                <c:pt idx="148">
                  <c:v>0.45</c:v>
                </c:pt>
                <c:pt idx="149">
                  <c:v>0.45</c:v>
                </c:pt>
                <c:pt idx="150">
                  <c:v>0.45</c:v>
                </c:pt>
                <c:pt idx="151">
                  <c:v>0.45</c:v>
                </c:pt>
                <c:pt idx="152">
                  <c:v>0.45</c:v>
                </c:pt>
                <c:pt idx="153">
                  <c:v>0.45</c:v>
                </c:pt>
                <c:pt idx="154">
                  <c:v>0.45</c:v>
                </c:pt>
                <c:pt idx="155">
                  <c:v>0.45</c:v>
                </c:pt>
                <c:pt idx="156">
                  <c:v>0.45</c:v>
                </c:pt>
                <c:pt idx="157">
                  <c:v>0.45</c:v>
                </c:pt>
                <c:pt idx="158">
                  <c:v>0.45</c:v>
                </c:pt>
                <c:pt idx="159">
                  <c:v>0.45</c:v>
                </c:pt>
                <c:pt idx="160">
                  <c:v>0.45</c:v>
                </c:pt>
                <c:pt idx="161">
                  <c:v>0.45</c:v>
                </c:pt>
                <c:pt idx="162">
                  <c:v>0.45</c:v>
                </c:pt>
                <c:pt idx="163">
                  <c:v>0.45</c:v>
                </c:pt>
                <c:pt idx="164">
                  <c:v>0.45</c:v>
                </c:pt>
                <c:pt idx="165">
                  <c:v>0.45</c:v>
                </c:pt>
                <c:pt idx="166">
                  <c:v>0.45</c:v>
                </c:pt>
                <c:pt idx="167">
                  <c:v>0.45</c:v>
                </c:pt>
                <c:pt idx="168">
                  <c:v>0.45</c:v>
                </c:pt>
                <c:pt idx="169">
                  <c:v>0.45</c:v>
                </c:pt>
                <c:pt idx="170">
                  <c:v>0.45</c:v>
                </c:pt>
                <c:pt idx="171">
                  <c:v>0.45</c:v>
                </c:pt>
                <c:pt idx="172">
                  <c:v>0.45</c:v>
                </c:pt>
                <c:pt idx="173">
                  <c:v>0.45</c:v>
                </c:pt>
                <c:pt idx="174">
                  <c:v>0.45</c:v>
                </c:pt>
                <c:pt idx="175">
                  <c:v>0.45</c:v>
                </c:pt>
                <c:pt idx="176">
                  <c:v>0.45</c:v>
                </c:pt>
                <c:pt idx="177">
                  <c:v>0.45</c:v>
                </c:pt>
                <c:pt idx="178">
                  <c:v>0.45</c:v>
                </c:pt>
                <c:pt idx="179">
                  <c:v>0.45</c:v>
                </c:pt>
                <c:pt idx="180">
                  <c:v>0.45</c:v>
                </c:pt>
                <c:pt idx="181">
                  <c:v>0.45</c:v>
                </c:pt>
                <c:pt idx="182">
                  <c:v>0.45</c:v>
                </c:pt>
                <c:pt idx="183">
                  <c:v>0.45</c:v>
                </c:pt>
                <c:pt idx="184">
                  <c:v>0.45</c:v>
                </c:pt>
                <c:pt idx="185">
                  <c:v>0.45</c:v>
                </c:pt>
                <c:pt idx="186">
                  <c:v>0.45</c:v>
                </c:pt>
                <c:pt idx="187">
                  <c:v>0.45</c:v>
                </c:pt>
                <c:pt idx="188">
                  <c:v>0.45</c:v>
                </c:pt>
                <c:pt idx="189">
                  <c:v>0.45</c:v>
                </c:pt>
                <c:pt idx="190">
                  <c:v>0.45</c:v>
                </c:pt>
                <c:pt idx="191">
                  <c:v>0.45</c:v>
                </c:pt>
                <c:pt idx="192">
                  <c:v>0.45</c:v>
                </c:pt>
                <c:pt idx="193">
                  <c:v>0.45</c:v>
                </c:pt>
                <c:pt idx="194">
                  <c:v>0.45</c:v>
                </c:pt>
                <c:pt idx="195">
                  <c:v>0.45</c:v>
                </c:pt>
                <c:pt idx="196">
                  <c:v>0.45</c:v>
                </c:pt>
                <c:pt idx="197">
                  <c:v>0.45</c:v>
                </c:pt>
                <c:pt idx="198">
                  <c:v>0.45</c:v>
                </c:pt>
                <c:pt idx="199">
                  <c:v>0.45</c:v>
                </c:pt>
              </c:numCache>
            </c:numRef>
          </c:yVal>
          <c:smooth val="0"/>
        </c:ser>
        <c:ser>
          <c:idx val="15"/>
          <c:order val="3"/>
          <c:tx>
            <c:strRef>
              <c:f>协调曲线图!$D$88</c:f>
              <c:strCache>
                <c:ptCount val="1"/>
                <c:pt idx="0">
                  <c:v>--------------------20Kv馈线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1.8052643838807361E-2"/>
                  <c:y val="-7.025590978095848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曲線Lever計算!$S$8:$S$207</c:f>
              <c:numCache>
                <c:formatCode>General</c:formatCode>
                <c:ptCount val="200"/>
                <c:pt idx="0">
                  <c:v>264</c:v>
                </c:pt>
                <c:pt idx="1">
                  <c:v>440</c:v>
                </c:pt>
                <c:pt idx="2">
                  <c:v>660</c:v>
                </c:pt>
                <c:pt idx="3">
                  <c:v>880</c:v>
                </c:pt>
                <c:pt idx="4">
                  <c:v>1100</c:v>
                </c:pt>
                <c:pt idx="5">
                  <c:v>1320</c:v>
                </c:pt>
                <c:pt idx="6">
                  <c:v>1540</c:v>
                </c:pt>
                <c:pt idx="7">
                  <c:v>1760</c:v>
                </c:pt>
                <c:pt idx="8">
                  <c:v>1980</c:v>
                </c:pt>
                <c:pt idx="9">
                  <c:v>2200</c:v>
                </c:pt>
                <c:pt idx="10">
                  <c:v>2420</c:v>
                </c:pt>
                <c:pt idx="11">
                  <c:v>2500</c:v>
                </c:pt>
                <c:pt idx="12">
                  <c:v>2500</c:v>
                </c:pt>
                <c:pt idx="13">
                  <c:v>2500</c:v>
                </c:pt>
                <c:pt idx="14">
                  <c:v>2500</c:v>
                </c:pt>
                <c:pt idx="15">
                  <c:v>2500</c:v>
                </c:pt>
                <c:pt idx="16">
                  <c:v>2500</c:v>
                </c:pt>
                <c:pt idx="17">
                  <c:v>2500</c:v>
                </c:pt>
                <c:pt idx="18">
                  <c:v>2500</c:v>
                </c:pt>
                <c:pt idx="19">
                  <c:v>2500</c:v>
                </c:pt>
                <c:pt idx="20">
                  <c:v>2500</c:v>
                </c:pt>
                <c:pt idx="21">
                  <c:v>2500</c:v>
                </c:pt>
                <c:pt idx="22">
                  <c:v>2500</c:v>
                </c:pt>
                <c:pt idx="23">
                  <c:v>2500</c:v>
                </c:pt>
                <c:pt idx="24">
                  <c:v>2500</c:v>
                </c:pt>
                <c:pt idx="25">
                  <c:v>2500</c:v>
                </c:pt>
                <c:pt idx="26">
                  <c:v>2500</c:v>
                </c:pt>
                <c:pt idx="27">
                  <c:v>2500</c:v>
                </c:pt>
                <c:pt idx="28">
                  <c:v>2500</c:v>
                </c:pt>
                <c:pt idx="29">
                  <c:v>2500</c:v>
                </c:pt>
                <c:pt idx="30">
                  <c:v>2500</c:v>
                </c:pt>
                <c:pt idx="31">
                  <c:v>2500</c:v>
                </c:pt>
                <c:pt idx="32">
                  <c:v>2500</c:v>
                </c:pt>
                <c:pt idx="33">
                  <c:v>2500</c:v>
                </c:pt>
                <c:pt idx="34">
                  <c:v>2500</c:v>
                </c:pt>
                <c:pt idx="35">
                  <c:v>2500</c:v>
                </c:pt>
                <c:pt idx="36">
                  <c:v>2500</c:v>
                </c:pt>
                <c:pt idx="37">
                  <c:v>2500</c:v>
                </c:pt>
                <c:pt idx="38">
                  <c:v>2500</c:v>
                </c:pt>
                <c:pt idx="39">
                  <c:v>2500</c:v>
                </c:pt>
                <c:pt idx="40">
                  <c:v>2500</c:v>
                </c:pt>
                <c:pt idx="41">
                  <c:v>2500</c:v>
                </c:pt>
                <c:pt idx="42">
                  <c:v>2500</c:v>
                </c:pt>
                <c:pt idx="43">
                  <c:v>2500</c:v>
                </c:pt>
                <c:pt idx="44">
                  <c:v>2500</c:v>
                </c:pt>
                <c:pt idx="45">
                  <c:v>2500</c:v>
                </c:pt>
                <c:pt idx="46">
                  <c:v>2500</c:v>
                </c:pt>
                <c:pt idx="47">
                  <c:v>2500</c:v>
                </c:pt>
                <c:pt idx="48">
                  <c:v>2500</c:v>
                </c:pt>
                <c:pt idx="49">
                  <c:v>2500</c:v>
                </c:pt>
                <c:pt idx="50">
                  <c:v>2500</c:v>
                </c:pt>
                <c:pt idx="51">
                  <c:v>2500</c:v>
                </c:pt>
                <c:pt idx="52">
                  <c:v>2500</c:v>
                </c:pt>
                <c:pt idx="53">
                  <c:v>2500</c:v>
                </c:pt>
                <c:pt idx="54">
                  <c:v>2500</c:v>
                </c:pt>
                <c:pt idx="55">
                  <c:v>2500</c:v>
                </c:pt>
                <c:pt idx="56">
                  <c:v>2500</c:v>
                </c:pt>
                <c:pt idx="57">
                  <c:v>2500</c:v>
                </c:pt>
                <c:pt idx="58">
                  <c:v>2500</c:v>
                </c:pt>
                <c:pt idx="59">
                  <c:v>2500</c:v>
                </c:pt>
                <c:pt idx="60">
                  <c:v>2500</c:v>
                </c:pt>
                <c:pt idx="61">
                  <c:v>2500</c:v>
                </c:pt>
                <c:pt idx="62">
                  <c:v>2500</c:v>
                </c:pt>
                <c:pt idx="63">
                  <c:v>2500</c:v>
                </c:pt>
                <c:pt idx="64">
                  <c:v>2500</c:v>
                </c:pt>
                <c:pt idx="65">
                  <c:v>2500</c:v>
                </c:pt>
                <c:pt idx="66">
                  <c:v>2500</c:v>
                </c:pt>
                <c:pt idx="67">
                  <c:v>2500</c:v>
                </c:pt>
                <c:pt idx="68">
                  <c:v>2500</c:v>
                </c:pt>
                <c:pt idx="69">
                  <c:v>2500</c:v>
                </c:pt>
                <c:pt idx="70">
                  <c:v>2500</c:v>
                </c:pt>
                <c:pt idx="71">
                  <c:v>2500</c:v>
                </c:pt>
                <c:pt idx="72">
                  <c:v>2500</c:v>
                </c:pt>
                <c:pt idx="73">
                  <c:v>2500</c:v>
                </c:pt>
                <c:pt idx="74">
                  <c:v>2500</c:v>
                </c:pt>
                <c:pt idx="75">
                  <c:v>2500</c:v>
                </c:pt>
                <c:pt idx="76">
                  <c:v>2500</c:v>
                </c:pt>
                <c:pt idx="77">
                  <c:v>2500</c:v>
                </c:pt>
                <c:pt idx="78">
                  <c:v>2500</c:v>
                </c:pt>
                <c:pt idx="79">
                  <c:v>2500</c:v>
                </c:pt>
                <c:pt idx="80">
                  <c:v>2500</c:v>
                </c:pt>
                <c:pt idx="81">
                  <c:v>2500</c:v>
                </c:pt>
                <c:pt idx="82">
                  <c:v>2500</c:v>
                </c:pt>
                <c:pt idx="83">
                  <c:v>2500</c:v>
                </c:pt>
                <c:pt idx="84">
                  <c:v>2500</c:v>
                </c:pt>
                <c:pt idx="85">
                  <c:v>2500</c:v>
                </c:pt>
                <c:pt idx="86">
                  <c:v>2500</c:v>
                </c:pt>
                <c:pt idx="87">
                  <c:v>2500</c:v>
                </c:pt>
                <c:pt idx="88">
                  <c:v>2500</c:v>
                </c:pt>
                <c:pt idx="89">
                  <c:v>2500</c:v>
                </c:pt>
                <c:pt idx="90">
                  <c:v>2500</c:v>
                </c:pt>
                <c:pt idx="91">
                  <c:v>2500</c:v>
                </c:pt>
                <c:pt idx="92">
                  <c:v>2500</c:v>
                </c:pt>
                <c:pt idx="93">
                  <c:v>2500</c:v>
                </c:pt>
                <c:pt idx="94">
                  <c:v>2500</c:v>
                </c:pt>
                <c:pt idx="95">
                  <c:v>2500</c:v>
                </c:pt>
                <c:pt idx="96">
                  <c:v>2500</c:v>
                </c:pt>
                <c:pt idx="97">
                  <c:v>2500</c:v>
                </c:pt>
                <c:pt idx="98">
                  <c:v>2500</c:v>
                </c:pt>
                <c:pt idx="99">
                  <c:v>2500</c:v>
                </c:pt>
                <c:pt idx="100">
                  <c:v>2500</c:v>
                </c:pt>
                <c:pt idx="101">
                  <c:v>2500</c:v>
                </c:pt>
                <c:pt idx="102">
                  <c:v>2500</c:v>
                </c:pt>
                <c:pt idx="103">
                  <c:v>2500</c:v>
                </c:pt>
                <c:pt idx="104">
                  <c:v>2500</c:v>
                </c:pt>
                <c:pt idx="105">
                  <c:v>2500</c:v>
                </c:pt>
                <c:pt idx="106">
                  <c:v>2500</c:v>
                </c:pt>
                <c:pt idx="107">
                  <c:v>2500</c:v>
                </c:pt>
                <c:pt idx="108">
                  <c:v>2500</c:v>
                </c:pt>
                <c:pt idx="109">
                  <c:v>2500</c:v>
                </c:pt>
                <c:pt idx="110">
                  <c:v>2500</c:v>
                </c:pt>
                <c:pt idx="111">
                  <c:v>2500</c:v>
                </c:pt>
                <c:pt idx="112">
                  <c:v>2500</c:v>
                </c:pt>
                <c:pt idx="113">
                  <c:v>2500</c:v>
                </c:pt>
                <c:pt idx="114">
                  <c:v>2500</c:v>
                </c:pt>
                <c:pt idx="115">
                  <c:v>2500</c:v>
                </c:pt>
                <c:pt idx="116">
                  <c:v>2500</c:v>
                </c:pt>
                <c:pt idx="117">
                  <c:v>2500</c:v>
                </c:pt>
                <c:pt idx="118">
                  <c:v>2500</c:v>
                </c:pt>
                <c:pt idx="119">
                  <c:v>2500</c:v>
                </c:pt>
                <c:pt idx="120">
                  <c:v>2500</c:v>
                </c:pt>
                <c:pt idx="121">
                  <c:v>2500</c:v>
                </c:pt>
                <c:pt idx="122">
                  <c:v>2500</c:v>
                </c:pt>
                <c:pt idx="123">
                  <c:v>2500</c:v>
                </c:pt>
                <c:pt idx="124">
                  <c:v>2500</c:v>
                </c:pt>
                <c:pt idx="125">
                  <c:v>2500</c:v>
                </c:pt>
                <c:pt idx="126">
                  <c:v>2500</c:v>
                </c:pt>
                <c:pt idx="127">
                  <c:v>2500</c:v>
                </c:pt>
                <c:pt idx="128">
                  <c:v>2500</c:v>
                </c:pt>
                <c:pt idx="129">
                  <c:v>2500</c:v>
                </c:pt>
                <c:pt idx="130">
                  <c:v>2500</c:v>
                </c:pt>
                <c:pt idx="131">
                  <c:v>2500</c:v>
                </c:pt>
                <c:pt idx="132">
                  <c:v>2500</c:v>
                </c:pt>
                <c:pt idx="133">
                  <c:v>2500</c:v>
                </c:pt>
                <c:pt idx="134">
                  <c:v>2500</c:v>
                </c:pt>
                <c:pt idx="135">
                  <c:v>2500</c:v>
                </c:pt>
                <c:pt idx="136">
                  <c:v>2500</c:v>
                </c:pt>
                <c:pt idx="137">
                  <c:v>2500</c:v>
                </c:pt>
                <c:pt idx="138">
                  <c:v>2500</c:v>
                </c:pt>
                <c:pt idx="139">
                  <c:v>2500</c:v>
                </c:pt>
                <c:pt idx="140">
                  <c:v>2500</c:v>
                </c:pt>
                <c:pt idx="141">
                  <c:v>2500</c:v>
                </c:pt>
                <c:pt idx="142">
                  <c:v>2500</c:v>
                </c:pt>
                <c:pt idx="143">
                  <c:v>2500</c:v>
                </c:pt>
                <c:pt idx="144">
                  <c:v>2500</c:v>
                </c:pt>
                <c:pt idx="145">
                  <c:v>2500</c:v>
                </c:pt>
                <c:pt idx="146">
                  <c:v>2500</c:v>
                </c:pt>
                <c:pt idx="147">
                  <c:v>2500</c:v>
                </c:pt>
                <c:pt idx="148">
                  <c:v>2500</c:v>
                </c:pt>
                <c:pt idx="149">
                  <c:v>2500</c:v>
                </c:pt>
                <c:pt idx="150">
                  <c:v>2500</c:v>
                </c:pt>
                <c:pt idx="151">
                  <c:v>2500</c:v>
                </c:pt>
                <c:pt idx="152">
                  <c:v>2500</c:v>
                </c:pt>
                <c:pt idx="153">
                  <c:v>2500</c:v>
                </c:pt>
                <c:pt idx="154">
                  <c:v>2500</c:v>
                </c:pt>
                <c:pt idx="155">
                  <c:v>2500</c:v>
                </c:pt>
                <c:pt idx="156">
                  <c:v>2500</c:v>
                </c:pt>
                <c:pt idx="157">
                  <c:v>2500</c:v>
                </c:pt>
                <c:pt idx="158">
                  <c:v>2500</c:v>
                </c:pt>
                <c:pt idx="159">
                  <c:v>2500</c:v>
                </c:pt>
                <c:pt idx="160">
                  <c:v>2500</c:v>
                </c:pt>
                <c:pt idx="161">
                  <c:v>2500</c:v>
                </c:pt>
                <c:pt idx="162">
                  <c:v>2500</c:v>
                </c:pt>
                <c:pt idx="163">
                  <c:v>2500</c:v>
                </c:pt>
                <c:pt idx="164">
                  <c:v>2500</c:v>
                </c:pt>
                <c:pt idx="165">
                  <c:v>2500</c:v>
                </c:pt>
                <c:pt idx="166">
                  <c:v>2500</c:v>
                </c:pt>
                <c:pt idx="167">
                  <c:v>2500</c:v>
                </c:pt>
                <c:pt idx="168">
                  <c:v>2500</c:v>
                </c:pt>
                <c:pt idx="169">
                  <c:v>2500</c:v>
                </c:pt>
                <c:pt idx="170">
                  <c:v>2500</c:v>
                </c:pt>
                <c:pt idx="171">
                  <c:v>2500</c:v>
                </c:pt>
                <c:pt idx="172">
                  <c:v>2500</c:v>
                </c:pt>
                <c:pt idx="173">
                  <c:v>2500</c:v>
                </c:pt>
                <c:pt idx="174">
                  <c:v>2500</c:v>
                </c:pt>
                <c:pt idx="175">
                  <c:v>2500</c:v>
                </c:pt>
                <c:pt idx="176">
                  <c:v>2500</c:v>
                </c:pt>
                <c:pt idx="177">
                  <c:v>2500</c:v>
                </c:pt>
                <c:pt idx="178">
                  <c:v>2500</c:v>
                </c:pt>
                <c:pt idx="179">
                  <c:v>2500</c:v>
                </c:pt>
                <c:pt idx="180">
                  <c:v>2500</c:v>
                </c:pt>
                <c:pt idx="181">
                  <c:v>2500</c:v>
                </c:pt>
                <c:pt idx="182">
                  <c:v>2500</c:v>
                </c:pt>
                <c:pt idx="183">
                  <c:v>2500</c:v>
                </c:pt>
                <c:pt idx="184">
                  <c:v>2500</c:v>
                </c:pt>
                <c:pt idx="185">
                  <c:v>2500</c:v>
                </c:pt>
                <c:pt idx="186">
                  <c:v>2500</c:v>
                </c:pt>
                <c:pt idx="187">
                  <c:v>2500</c:v>
                </c:pt>
                <c:pt idx="188">
                  <c:v>2500</c:v>
                </c:pt>
                <c:pt idx="189">
                  <c:v>2500</c:v>
                </c:pt>
                <c:pt idx="190">
                  <c:v>2500</c:v>
                </c:pt>
                <c:pt idx="191">
                  <c:v>2500</c:v>
                </c:pt>
                <c:pt idx="192">
                  <c:v>2500</c:v>
                </c:pt>
                <c:pt idx="193">
                  <c:v>2500</c:v>
                </c:pt>
                <c:pt idx="194">
                  <c:v>2500</c:v>
                </c:pt>
                <c:pt idx="195">
                  <c:v>2500</c:v>
                </c:pt>
                <c:pt idx="196">
                  <c:v>2500</c:v>
                </c:pt>
                <c:pt idx="197">
                  <c:v>2500</c:v>
                </c:pt>
                <c:pt idx="198">
                  <c:v>2500</c:v>
                </c:pt>
                <c:pt idx="199">
                  <c:v>44000</c:v>
                </c:pt>
              </c:numCache>
            </c:numRef>
          </c:xVal>
          <c:yVal>
            <c:numRef>
              <c:f>曲線Lever計算!$Q$8:$Q$207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0.65</c:v>
                </c:pt>
                <c:pt idx="5">
                  <c:v>0.65</c:v>
                </c:pt>
                <c:pt idx="6">
                  <c:v>0.65</c:v>
                </c:pt>
                <c:pt idx="7">
                  <c:v>0.65</c:v>
                </c:pt>
                <c:pt idx="8">
                  <c:v>0.65</c:v>
                </c:pt>
                <c:pt idx="9">
                  <c:v>0.65</c:v>
                </c:pt>
                <c:pt idx="10">
                  <c:v>0.65</c:v>
                </c:pt>
                <c:pt idx="11">
                  <c:v>0.65</c:v>
                </c:pt>
                <c:pt idx="12">
                  <c:v>0.65</c:v>
                </c:pt>
                <c:pt idx="13">
                  <c:v>0.65</c:v>
                </c:pt>
                <c:pt idx="14">
                  <c:v>0.65</c:v>
                </c:pt>
                <c:pt idx="15">
                  <c:v>0.65</c:v>
                </c:pt>
                <c:pt idx="16">
                  <c:v>0.65</c:v>
                </c:pt>
                <c:pt idx="17">
                  <c:v>0.65</c:v>
                </c:pt>
                <c:pt idx="18">
                  <c:v>0.65</c:v>
                </c:pt>
                <c:pt idx="19">
                  <c:v>0.65</c:v>
                </c:pt>
                <c:pt idx="20">
                  <c:v>0.65</c:v>
                </c:pt>
                <c:pt idx="21">
                  <c:v>0.65</c:v>
                </c:pt>
                <c:pt idx="22">
                  <c:v>0.65</c:v>
                </c:pt>
                <c:pt idx="23">
                  <c:v>0.65</c:v>
                </c:pt>
                <c:pt idx="24">
                  <c:v>0.65</c:v>
                </c:pt>
                <c:pt idx="25">
                  <c:v>0.65</c:v>
                </c:pt>
                <c:pt idx="26">
                  <c:v>0.65</c:v>
                </c:pt>
                <c:pt idx="27">
                  <c:v>0.65</c:v>
                </c:pt>
                <c:pt idx="28">
                  <c:v>0.65</c:v>
                </c:pt>
                <c:pt idx="29">
                  <c:v>0.65</c:v>
                </c:pt>
                <c:pt idx="30">
                  <c:v>0.65</c:v>
                </c:pt>
                <c:pt idx="31">
                  <c:v>0.65</c:v>
                </c:pt>
                <c:pt idx="32">
                  <c:v>0.65</c:v>
                </c:pt>
                <c:pt idx="33">
                  <c:v>0.65</c:v>
                </c:pt>
                <c:pt idx="34">
                  <c:v>0.65</c:v>
                </c:pt>
                <c:pt idx="35">
                  <c:v>0.65</c:v>
                </c:pt>
                <c:pt idx="36">
                  <c:v>0.65</c:v>
                </c:pt>
                <c:pt idx="37">
                  <c:v>0.65</c:v>
                </c:pt>
                <c:pt idx="38">
                  <c:v>0.65</c:v>
                </c:pt>
                <c:pt idx="39">
                  <c:v>0.65</c:v>
                </c:pt>
                <c:pt idx="40">
                  <c:v>0.65</c:v>
                </c:pt>
                <c:pt idx="41">
                  <c:v>0.65</c:v>
                </c:pt>
                <c:pt idx="42">
                  <c:v>0.65</c:v>
                </c:pt>
                <c:pt idx="43">
                  <c:v>0.65</c:v>
                </c:pt>
                <c:pt idx="44">
                  <c:v>0.65</c:v>
                </c:pt>
                <c:pt idx="45">
                  <c:v>0.65</c:v>
                </c:pt>
                <c:pt idx="46">
                  <c:v>0.65</c:v>
                </c:pt>
                <c:pt idx="47">
                  <c:v>0.65</c:v>
                </c:pt>
                <c:pt idx="48">
                  <c:v>0.65</c:v>
                </c:pt>
                <c:pt idx="49">
                  <c:v>0.65</c:v>
                </c:pt>
                <c:pt idx="50">
                  <c:v>0.65</c:v>
                </c:pt>
                <c:pt idx="51">
                  <c:v>0.65</c:v>
                </c:pt>
                <c:pt idx="52">
                  <c:v>0.65</c:v>
                </c:pt>
                <c:pt idx="53">
                  <c:v>0.65</c:v>
                </c:pt>
                <c:pt idx="54">
                  <c:v>0.65</c:v>
                </c:pt>
                <c:pt idx="55">
                  <c:v>0.65</c:v>
                </c:pt>
                <c:pt idx="56">
                  <c:v>0.65</c:v>
                </c:pt>
                <c:pt idx="57">
                  <c:v>0.65</c:v>
                </c:pt>
                <c:pt idx="58">
                  <c:v>0.65</c:v>
                </c:pt>
                <c:pt idx="59">
                  <c:v>0.65</c:v>
                </c:pt>
                <c:pt idx="60">
                  <c:v>0.65</c:v>
                </c:pt>
                <c:pt idx="61">
                  <c:v>0.65</c:v>
                </c:pt>
                <c:pt idx="62">
                  <c:v>0.65</c:v>
                </c:pt>
                <c:pt idx="63">
                  <c:v>0.65</c:v>
                </c:pt>
                <c:pt idx="64">
                  <c:v>0.65</c:v>
                </c:pt>
                <c:pt idx="65">
                  <c:v>0.65</c:v>
                </c:pt>
                <c:pt idx="66">
                  <c:v>0.65</c:v>
                </c:pt>
                <c:pt idx="67">
                  <c:v>0.65</c:v>
                </c:pt>
                <c:pt idx="68">
                  <c:v>0.65</c:v>
                </c:pt>
                <c:pt idx="69">
                  <c:v>0.65</c:v>
                </c:pt>
                <c:pt idx="70">
                  <c:v>0.65</c:v>
                </c:pt>
                <c:pt idx="71">
                  <c:v>0.65</c:v>
                </c:pt>
                <c:pt idx="72">
                  <c:v>0.65</c:v>
                </c:pt>
                <c:pt idx="73">
                  <c:v>0.65</c:v>
                </c:pt>
                <c:pt idx="74">
                  <c:v>0.65</c:v>
                </c:pt>
                <c:pt idx="75">
                  <c:v>0.65</c:v>
                </c:pt>
                <c:pt idx="76">
                  <c:v>0.65</c:v>
                </c:pt>
                <c:pt idx="77">
                  <c:v>0.65</c:v>
                </c:pt>
                <c:pt idx="78">
                  <c:v>0.65</c:v>
                </c:pt>
                <c:pt idx="79">
                  <c:v>0.65</c:v>
                </c:pt>
                <c:pt idx="80">
                  <c:v>0.65</c:v>
                </c:pt>
                <c:pt idx="81">
                  <c:v>0.65</c:v>
                </c:pt>
                <c:pt idx="82">
                  <c:v>0.65</c:v>
                </c:pt>
                <c:pt idx="83">
                  <c:v>0.65</c:v>
                </c:pt>
                <c:pt idx="84">
                  <c:v>0.65</c:v>
                </c:pt>
                <c:pt idx="85">
                  <c:v>0.65</c:v>
                </c:pt>
                <c:pt idx="86">
                  <c:v>0.65</c:v>
                </c:pt>
                <c:pt idx="87">
                  <c:v>0.65</c:v>
                </c:pt>
                <c:pt idx="88">
                  <c:v>0.65</c:v>
                </c:pt>
                <c:pt idx="89">
                  <c:v>0.65</c:v>
                </c:pt>
                <c:pt idx="90">
                  <c:v>0.65</c:v>
                </c:pt>
                <c:pt idx="91">
                  <c:v>0.65</c:v>
                </c:pt>
                <c:pt idx="92">
                  <c:v>0.65</c:v>
                </c:pt>
                <c:pt idx="93">
                  <c:v>0.65</c:v>
                </c:pt>
                <c:pt idx="94">
                  <c:v>0.65</c:v>
                </c:pt>
                <c:pt idx="95">
                  <c:v>0.65</c:v>
                </c:pt>
                <c:pt idx="96">
                  <c:v>0.65</c:v>
                </c:pt>
                <c:pt idx="97">
                  <c:v>0.65</c:v>
                </c:pt>
                <c:pt idx="98">
                  <c:v>0.65</c:v>
                </c:pt>
                <c:pt idx="99">
                  <c:v>0.65</c:v>
                </c:pt>
                <c:pt idx="100">
                  <c:v>0.65</c:v>
                </c:pt>
                <c:pt idx="101">
                  <c:v>0.65</c:v>
                </c:pt>
                <c:pt idx="102">
                  <c:v>0.65</c:v>
                </c:pt>
                <c:pt idx="103">
                  <c:v>0.65</c:v>
                </c:pt>
                <c:pt idx="104">
                  <c:v>0.65</c:v>
                </c:pt>
                <c:pt idx="105">
                  <c:v>0.65</c:v>
                </c:pt>
                <c:pt idx="106">
                  <c:v>0.65</c:v>
                </c:pt>
                <c:pt idx="107">
                  <c:v>0.65</c:v>
                </c:pt>
                <c:pt idx="108">
                  <c:v>0.65</c:v>
                </c:pt>
                <c:pt idx="109">
                  <c:v>0.65</c:v>
                </c:pt>
                <c:pt idx="110">
                  <c:v>0.65</c:v>
                </c:pt>
                <c:pt idx="111">
                  <c:v>0.65</c:v>
                </c:pt>
                <c:pt idx="112">
                  <c:v>0.65</c:v>
                </c:pt>
                <c:pt idx="113">
                  <c:v>0.65</c:v>
                </c:pt>
                <c:pt idx="114">
                  <c:v>0.65</c:v>
                </c:pt>
                <c:pt idx="115">
                  <c:v>0.65</c:v>
                </c:pt>
                <c:pt idx="116">
                  <c:v>0.65</c:v>
                </c:pt>
                <c:pt idx="117">
                  <c:v>0.65</c:v>
                </c:pt>
                <c:pt idx="118">
                  <c:v>0.65</c:v>
                </c:pt>
                <c:pt idx="119">
                  <c:v>0.65</c:v>
                </c:pt>
                <c:pt idx="120">
                  <c:v>0.65</c:v>
                </c:pt>
                <c:pt idx="121">
                  <c:v>0.65</c:v>
                </c:pt>
                <c:pt idx="122">
                  <c:v>0.65</c:v>
                </c:pt>
                <c:pt idx="123">
                  <c:v>0.65</c:v>
                </c:pt>
                <c:pt idx="124">
                  <c:v>0.65</c:v>
                </c:pt>
                <c:pt idx="125">
                  <c:v>0.65</c:v>
                </c:pt>
                <c:pt idx="126">
                  <c:v>0.65</c:v>
                </c:pt>
                <c:pt idx="127">
                  <c:v>0.65</c:v>
                </c:pt>
                <c:pt idx="128">
                  <c:v>0.65</c:v>
                </c:pt>
                <c:pt idx="129">
                  <c:v>0.65</c:v>
                </c:pt>
                <c:pt idx="130">
                  <c:v>0.65</c:v>
                </c:pt>
                <c:pt idx="131">
                  <c:v>0.65</c:v>
                </c:pt>
                <c:pt idx="132">
                  <c:v>0.65</c:v>
                </c:pt>
                <c:pt idx="133">
                  <c:v>0.65</c:v>
                </c:pt>
                <c:pt idx="134">
                  <c:v>0.65</c:v>
                </c:pt>
                <c:pt idx="135">
                  <c:v>0.65</c:v>
                </c:pt>
                <c:pt idx="136">
                  <c:v>0.65</c:v>
                </c:pt>
                <c:pt idx="137">
                  <c:v>0.65</c:v>
                </c:pt>
                <c:pt idx="138">
                  <c:v>0.65</c:v>
                </c:pt>
                <c:pt idx="139">
                  <c:v>0.65</c:v>
                </c:pt>
                <c:pt idx="140">
                  <c:v>0.65</c:v>
                </c:pt>
                <c:pt idx="141">
                  <c:v>0.65</c:v>
                </c:pt>
                <c:pt idx="142">
                  <c:v>0.65</c:v>
                </c:pt>
                <c:pt idx="143">
                  <c:v>0.65</c:v>
                </c:pt>
                <c:pt idx="144">
                  <c:v>0.65</c:v>
                </c:pt>
                <c:pt idx="145">
                  <c:v>0.65</c:v>
                </c:pt>
                <c:pt idx="146">
                  <c:v>0.65</c:v>
                </c:pt>
                <c:pt idx="147">
                  <c:v>0.65</c:v>
                </c:pt>
                <c:pt idx="148">
                  <c:v>0.65</c:v>
                </c:pt>
                <c:pt idx="149">
                  <c:v>0.65</c:v>
                </c:pt>
                <c:pt idx="150">
                  <c:v>0.65</c:v>
                </c:pt>
                <c:pt idx="151">
                  <c:v>0.65</c:v>
                </c:pt>
                <c:pt idx="152">
                  <c:v>0.65</c:v>
                </c:pt>
                <c:pt idx="153">
                  <c:v>0.65</c:v>
                </c:pt>
                <c:pt idx="154">
                  <c:v>0.65</c:v>
                </c:pt>
                <c:pt idx="155">
                  <c:v>0.65</c:v>
                </c:pt>
                <c:pt idx="156">
                  <c:v>0.65</c:v>
                </c:pt>
                <c:pt idx="157">
                  <c:v>0.65</c:v>
                </c:pt>
                <c:pt idx="158">
                  <c:v>0.65</c:v>
                </c:pt>
                <c:pt idx="159">
                  <c:v>0.65</c:v>
                </c:pt>
                <c:pt idx="160">
                  <c:v>0.65</c:v>
                </c:pt>
                <c:pt idx="161">
                  <c:v>0.65</c:v>
                </c:pt>
                <c:pt idx="162">
                  <c:v>0.65</c:v>
                </c:pt>
                <c:pt idx="163">
                  <c:v>0.65</c:v>
                </c:pt>
                <c:pt idx="164">
                  <c:v>0.65</c:v>
                </c:pt>
                <c:pt idx="165">
                  <c:v>0.65</c:v>
                </c:pt>
                <c:pt idx="166">
                  <c:v>0.65</c:v>
                </c:pt>
                <c:pt idx="167">
                  <c:v>0.65</c:v>
                </c:pt>
                <c:pt idx="168">
                  <c:v>0.65</c:v>
                </c:pt>
                <c:pt idx="169">
                  <c:v>0.65</c:v>
                </c:pt>
                <c:pt idx="170">
                  <c:v>0.65</c:v>
                </c:pt>
                <c:pt idx="171">
                  <c:v>0.65</c:v>
                </c:pt>
                <c:pt idx="172">
                  <c:v>0.65</c:v>
                </c:pt>
                <c:pt idx="173">
                  <c:v>0.65</c:v>
                </c:pt>
                <c:pt idx="174">
                  <c:v>0.65</c:v>
                </c:pt>
                <c:pt idx="175">
                  <c:v>0.65</c:v>
                </c:pt>
                <c:pt idx="176">
                  <c:v>0.65</c:v>
                </c:pt>
                <c:pt idx="177">
                  <c:v>0.65</c:v>
                </c:pt>
                <c:pt idx="178">
                  <c:v>0.65</c:v>
                </c:pt>
                <c:pt idx="179">
                  <c:v>0.65</c:v>
                </c:pt>
                <c:pt idx="180">
                  <c:v>0.65</c:v>
                </c:pt>
                <c:pt idx="181">
                  <c:v>0.65</c:v>
                </c:pt>
                <c:pt idx="182">
                  <c:v>0.65</c:v>
                </c:pt>
                <c:pt idx="183">
                  <c:v>0.65</c:v>
                </c:pt>
                <c:pt idx="184">
                  <c:v>0.65</c:v>
                </c:pt>
                <c:pt idx="185">
                  <c:v>0.65</c:v>
                </c:pt>
                <c:pt idx="186">
                  <c:v>0.65</c:v>
                </c:pt>
                <c:pt idx="187">
                  <c:v>0.65</c:v>
                </c:pt>
                <c:pt idx="188">
                  <c:v>0.65</c:v>
                </c:pt>
                <c:pt idx="189">
                  <c:v>0.65</c:v>
                </c:pt>
                <c:pt idx="190">
                  <c:v>0.65</c:v>
                </c:pt>
                <c:pt idx="191">
                  <c:v>0.65</c:v>
                </c:pt>
                <c:pt idx="192">
                  <c:v>0.65</c:v>
                </c:pt>
                <c:pt idx="193">
                  <c:v>0.65</c:v>
                </c:pt>
                <c:pt idx="194">
                  <c:v>0.65</c:v>
                </c:pt>
                <c:pt idx="195">
                  <c:v>0.65</c:v>
                </c:pt>
                <c:pt idx="196">
                  <c:v>0.65</c:v>
                </c:pt>
                <c:pt idx="197">
                  <c:v>0.65</c:v>
                </c:pt>
                <c:pt idx="198">
                  <c:v>0.65</c:v>
                </c:pt>
                <c:pt idx="199">
                  <c:v>0.65</c:v>
                </c:pt>
              </c:numCache>
            </c:numRef>
          </c:yVal>
          <c:smooth val="0"/>
        </c:ser>
        <c:ser>
          <c:idx val="16"/>
          <c:order val="4"/>
          <c:tx>
            <c:strRef>
              <c:f>协调曲线图!$D$89</c:f>
              <c:strCache>
                <c:ptCount val="1"/>
                <c:pt idx="0">
                  <c:v>--------------------20Kv母联</c:v>
                </c:pt>
              </c:strCache>
            </c:strRef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4824132308409042E-2"/>
                  <c:y val="-0.12958143569724595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曲線Lever計算!$X$8:$X$207</c:f>
              <c:numCache>
                <c:formatCode>General</c:formatCode>
                <c:ptCount val="200"/>
                <c:pt idx="0">
                  <c:v>456</c:v>
                </c:pt>
                <c:pt idx="1">
                  <c:v>760</c:v>
                </c:pt>
                <c:pt idx="2">
                  <c:v>1140</c:v>
                </c:pt>
                <c:pt idx="3">
                  <c:v>1520</c:v>
                </c:pt>
                <c:pt idx="4">
                  <c:v>1900</c:v>
                </c:pt>
                <c:pt idx="5">
                  <c:v>2280</c:v>
                </c:pt>
                <c:pt idx="6">
                  <c:v>2660</c:v>
                </c:pt>
                <c:pt idx="7">
                  <c:v>3000</c:v>
                </c:pt>
                <c:pt idx="8">
                  <c:v>3000</c:v>
                </c:pt>
                <c:pt idx="9">
                  <c:v>3000</c:v>
                </c:pt>
                <c:pt idx="10">
                  <c:v>3000</c:v>
                </c:pt>
                <c:pt idx="11">
                  <c:v>3000</c:v>
                </c:pt>
                <c:pt idx="12">
                  <c:v>3000</c:v>
                </c:pt>
                <c:pt idx="13">
                  <c:v>3000</c:v>
                </c:pt>
                <c:pt idx="14">
                  <c:v>3000</c:v>
                </c:pt>
                <c:pt idx="15">
                  <c:v>3000</c:v>
                </c:pt>
                <c:pt idx="16">
                  <c:v>3000</c:v>
                </c:pt>
                <c:pt idx="17">
                  <c:v>3000</c:v>
                </c:pt>
                <c:pt idx="18">
                  <c:v>3000</c:v>
                </c:pt>
                <c:pt idx="19">
                  <c:v>3000</c:v>
                </c:pt>
                <c:pt idx="20">
                  <c:v>3000</c:v>
                </c:pt>
                <c:pt idx="21">
                  <c:v>3000</c:v>
                </c:pt>
                <c:pt idx="22">
                  <c:v>3000</c:v>
                </c:pt>
                <c:pt idx="23">
                  <c:v>3000</c:v>
                </c:pt>
                <c:pt idx="24">
                  <c:v>3000</c:v>
                </c:pt>
                <c:pt idx="25">
                  <c:v>3000</c:v>
                </c:pt>
                <c:pt idx="26">
                  <c:v>3000</c:v>
                </c:pt>
                <c:pt idx="27">
                  <c:v>3000</c:v>
                </c:pt>
                <c:pt idx="28">
                  <c:v>3000</c:v>
                </c:pt>
                <c:pt idx="29">
                  <c:v>3000</c:v>
                </c:pt>
                <c:pt idx="30">
                  <c:v>3000</c:v>
                </c:pt>
                <c:pt idx="31">
                  <c:v>3000</c:v>
                </c:pt>
                <c:pt idx="32">
                  <c:v>3000</c:v>
                </c:pt>
                <c:pt idx="33">
                  <c:v>3000</c:v>
                </c:pt>
                <c:pt idx="34">
                  <c:v>3000</c:v>
                </c:pt>
                <c:pt idx="35">
                  <c:v>3000</c:v>
                </c:pt>
                <c:pt idx="36">
                  <c:v>3000</c:v>
                </c:pt>
                <c:pt idx="37">
                  <c:v>3000</c:v>
                </c:pt>
                <c:pt idx="38">
                  <c:v>3000</c:v>
                </c:pt>
                <c:pt idx="39">
                  <c:v>3000</c:v>
                </c:pt>
                <c:pt idx="40">
                  <c:v>3000</c:v>
                </c:pt>
                <c:pt idx="41">
                  <c:v>3000</c:v>
                </c:pt>
                <c:pt idx="42">
                  <c:v>3000</c:v>
                </c:pt>
                <c:pt idx="43">
                  <c:v>3000</c:v>
                </c:pt>
                <c:pt idx="44">
                  <c:v>3000</c:v>
                </c:pt>
                <c:pt idx="45">
                  <c:v>3000</c:v>
                </c:pt>
                <c:pt idx="46">
                  <c:v>3000</c:v>
                </c:pt>
                <c:pt idx="47">
                  <c:v>3000</c:v>
                </c:pt>
                <c:pt idx="48">
                  <c:v>3000</c:v>
                </c:pt>
                <c:pt idx="49">
                  <c:v>3000</c:v>
                </c:pt>
                <c:pt idx="50">
                  <c:v>3000</c:v>
                </c:pt>
                <c:pt idx="51">
                  <c:v>3000</c:v>
                </c:pt>
                <c:pt idx="52">
                  <c:v>3000</c:v>
                </c:pt>
                <c:pt idx="53">
                  <c:v>3000</c:v>
                </c:pt>
                <c:pt idx="54">
                  <c:v>3000</c:v>
                </c:pt>
                <c:pt idx="55">
                  <c:v>3000</c:v>
                </c:pt>
                <c:pt idx="56">
                  <c:v>3000</c:v>
                </c:pt>
                <c:pt idx="57">
                  <c:v>3000</c:v>
                </c:pt>
                <c:pt idx="58">
                  <c:v>3000</c:v>
                </c:pt>
                <c:pt idx="59">
                  <c:v>3000</c:v>
                </c:pt>
                <c:pt idx="60">
                  <c:v>3000</c:v>
                </c:pt>
                <c:pt idx="61">
                  <c:v>3000</c:v>
                </c:pt>
                <c:pt idx="62">
                  <c:v>3000</c:v>
                </c:pt>
                <c:pt idx="63">
                  <c:v>3000</c:v>
                </c:pt>
                <c:pt idx="64">
                  <c:v>3000</c:v>
                </c:pt>
                <c:pt idx="65">
                  <c:v>3000</c:v>
                </c:pt>
                <c:pt idx="66">
                  <c:v>3000</c:v>
                </c:pt>
                <c:pt idx="67">
                  <c:v>3000</c:v>
                </c:pt>
                <c:pt idx="68">
                  <c:v>3000</c:v>
                </c:pt>
                <c:pt idx="69">
                  <c:v>3000</c:v>
                </c:pt>
                <c:pt idx="70">
                  <c:v>3000</c:v>
                </c:pt>
                <c:pt idx="71">
                  <c:v>3000</c:v>
                </c:pt>
                <c:pt idx="72">
                  <c:v>3000</c:v>
                </c:pt>
                <c:pt idx="73">
                  <c:v>3000</c:v>
                </c:pt>
                <c:pt idx="74">
                  <c:v>3000</c:v>
                </c:pt>
                <c:pt idx="75">
                  <c:v>3000</c:v>
                </c:pt>
                <c:pt idx="76">
                  <c:v>3000</c:v>
                </c:pt>
                <c:pt idx="77">
                  <c:v>3000</c:v>
                </c:pt>
                <c:pt idx="78">
                  <c:v>3000</c:v>
                </c:pt>
                <c:pt idx="79">
                  <c:v>3000</c:v>
                </c:pt>
                <c:pt idx="80">
                  <c:v>3000</c:v>
                </c:pt>
                <c:pt idx="81">
                  <c:v>3000</c:v>
                </c:pt>
                <c:pt idx="82">
                  <c:v>3000</c:v>
                </c:pt>
                <c:pt idx="83">
                  <c:v>3000</c:v>
                </c:pt>
                <c:pt idx="84">
                  <c:v>3000</c:v>
                </c:pt>
                <c:pt idx="85">
                  <c:v>3000</c:v>
                </c:pt>
                <c:pt idx="86">
                  <c:v>3000</c:v>
                </c:pt>
                <c:pt idx="87">
                  <c:v>3000</c:v>
                </c:pt>
                <c:pt idx="88">
                  <c:v>3000</c:v>
                </c:pt>
                <c:pt idx="89">
                  <c:v>3000</c:v>
                </c:pt>
                <c:pt idx="90">
                  <c:v>3000</c:v>
                </c:pt>
                <c:pt idx="91">
                  <c:v>3000</c:v>
                </c:pt>
                <c:pt idx="92">
                  <c:v>3000</c:v>
                </c:pt>
                <c:pt idx="93">
                  <c:v>3000</c:v>
                </c:pt>
                <c:pt idx="94">
                  <c:v>3000</c:v>
                </c:pt>
                <c:pt idx="95">
                  <c:v>3000</c:v>
                </c:pt>
                <c:pt idx="96">
                  <c:v>3000</c:v>
                </c:pt>
                <c:pt idx="97">
                  <c:v>3000</c:v>
                </c:pt>
                <c:pt idx="98">
                  <c:v>3000</c:v>
                </c:pt>
                <c:pt idx="99">
                  <c:v>3000</c:v>
                </c:pt>
                <c:pt idx="100">
                  <c:v>3000</c:v>
                </c:pt>
                <c:pt idx="101">
                  <c:v>3000</c:v>
                </c:pt>
                <c:pt idx="102">
                  <c:v>3000</c:v>
                </c:pt>
                <c:pt idx="103">
                  <c:v>3000</c:v>
                </c:pt>
                <c:pt idx="104">
                  <c:v>3000</c:v>
                </c:pt>
                <c:pt idx="105">
                  <c:v>3000</c:v>
                </c:pt>
                <c:pt idx="106">
                  <c:v>3000</c:v>
                </c:pt>
                <c:pt idx="107">
                  <c:v>3000</c:v>
                </c:pt>
                <c:pt idx="108">
                  <c:v>3000</c:v>
                </c:pt>
                <c:pt idx="109">
                  <c:v>3000</c:v>
                </c:pt>
                <c:pt idx="110">
                  <c:v>3000</c:v>
                </c:pt>
                <c:pt idx="111">
                  <c:v>3000</c:v>
                </c:pt>
                <c:pt idx="112">
                  <c:v>3000</c:v>
                </c:pt>
                <c:pt idx="113">
                  <c:v>3000</c:v>
                </c:pt>
                <c:pt idx="114">
                  <c:v>3000</c:v>
                </c:pt>
                <c:pt idx="115">
                  <c:v>3000</c:v>
                </c:pt>
                <c:pt idx="116">
                  <c:v>3000</c:v>
                </c:pt>
                <c:pt idx="117">
                  <c:v>3000</c:v>
                </c:pt>
                <c:pt idx="118">
                  <c:v>3000</c:v>
                </c:pt>
                <c:pt idx="119">
                  <c:v>3000</c:v>
                </c:pt>
                <c:pt idx="120">
                  <c:v>3000</c:v>
                </c:pt>
                <c:pt idx="121">
                  <c:v>3000</c:v>
                </c:pt>
                <c:pt idx="122">
                  <c:v>3000</c:v>
                </c:pt>
                <c:pt idx="123">
                  <c:v>3000</c:v>
                </c:pt>
                <c:pt idx="124">
                  <c:v>3000</c:v>
                </c:pt>
                <c:pt idx="125">
                  <c:v>3000</c:v>
                </c:pt>
                <c:pt idx="126">
                  <c:v>3000</c:v>
                </c:pt>
                <c:pt idx="127">
                  <c:v>3000</c:v>
                </c:pt>
                <c:pt idx="128">
                  <c:v>3000</c:v>
                </c:pt>
                <c:pt idx="129">
                  <c:v>3000</c:v>
                </c:pt>
                <c:pt idx="130">
                  <c:v>3000</c:v>
                </c:pt>
                <c:pt idx="131">
                  <c:v>3000</c:v>
                </c:pt>
                <c:pt idx="132">
                  <c:v>3000</c:v>
                </c:pt>
                <c:pt idx="133">
                  <c:v>3000</c:v>
                </c:pt>
                <c:pt idx="134">
                  <c:v>3000</c:v>
                </c:pt>
                <c:pt idx="135">
                  <c:v>3000</c:v>
                </c:pt>
                <c:pt idx="136">
                  <c:v>3000</c:v>
                </c:pt>
                <c:pt idx="137">
                  <c:v>3000</c:v>
                </c:pt>
                <c:pt idx="138">
                  <c:v>3000</c:v>
                </c:pt>
                <c:pt idx="139">
                  <c:v>3000</c:v>
                </c:pt>
                <c:pt idx="140">
                  <c:v>3000</c:v>
                </c:pt>
                <c:pt idx="141">
                  <c:v>3000</c:v>
                </c:pt>
                <c:pt idx="142">
                  <c:v>3000</c:v>
                </c:pt>
                <c:pt idx="143">
                  <c:v>3000</c:v>
                </c:pt>
                <c:pt idx="144">
                  <c:v>3000</c:v>
                </c:pt>
                <c:pt idx="145">
                  <c:v>3000</c:v>
                </c:pt>
                <c:pt idx="146">
                  <c:v>3000</c:v>
                </c:pt>
                <c:pt idx="147">
                  <c:v>3000</c:v>
                </c:pt>
                <c:pt idx="148">
                  <c:v>3000</c:v>
                </c:pt>
                <c:pt idx="149">
                  <c:v>3000</c:v>
                </c:pt>
                <c:pt idx="150">
                  <c:v>3000</c:v>
                </c:pt>
                <c:pt idx="151">
                  <c:v>3000</c:v>
                </c:pt>
                <c:pt idx="152">
                  <c:v>3000</c:v>
                </c:pt>
                <c:pt idx="153">
                  <c:v>3000</c:v>
                </c:pt>
                <c:pt idx="154">
                  <c:v>3000</c:v>
                </c:pt>
                <c:pt idx="155">
                  <c:v>3000</c:v>
                </c:pt>
                <c:pt idx="156">
                  <c:v>3000</c:v>
                </c:pt>
                <c:pt idx="157">
                  <c:v>3000</c:v>
                </c:pt>
                <c:pt idx="158">
                  <c:v>3000</c:v>
                </c:pt>
                <c:pt idx="159">
                  <c:v>3000</c:v>
                </c:pt>
                <c:pt idx="160">
                  <c:v>3000</c:v>
                </c:pt>
                <c:pt idx="161">
                  <c:v>3000</c:v>
                </c:pt>
                <c:pt idx="162">
                  <c:v>3000</c:v>
                </c:pt>
                <c:pt idx="163">
                  <c:v>3000</c:v>
                </c:pt>
                <c:pt idx="164">
                  <c:v>3000</c:v>
                </c:pt>
                <c:pt idx="165">
                  <c:v>3000</c:v>
                </c:pt>
                <c:pt idx="166">
                  <c:v>3000</c:v>
                </c:pt>
                <c:pt idx="167">
                  <c:v>3000</c:v>
                </c:pt>
                <c:pt idx="168">
                  <c:v>3000</c:v>
                </c:pt>
                <c:pt idx="169">
                  <c:v>3000</c:v>
                </c:pt>
                <c:pt idx="170">
                  <c:v>3000</c:v>
                </c:pt>
                <c:pt idx="171">
                  <c:v>3000</c:v>
                </c:pt>
                <c:pt idx="172">
                  <c:v>3000</c:v>
                </c:pt>
                <c:pt idx="173">
                  <c:v>3000</c:v>
                </c:pt>
                <c:pt idx="174">
                  <c:v>3000</c:v>
                </c:pt>
                <c:pt idx="175">
                  <c:v>3000</c:v>
                </c:pt>
                <c:pt idx="176">
                  <c:v>3000</c:v>
                </c:pt>
                <c:pt idx="177">
                  <c:v>3000</c:v>
                </c:pt>
                <c:pt idx="178">
                  <c:v>3000</c:v>
                </c:pt>
                <c:pt idx="179">
                  <c:v>3000</c:v>
                </c:pt>
                <c:pt idx="180">
                  <c:v>3000</c:v>
                </c:pt>
                <c:pt idx="181">
                  <c:v>3000</c:v>
                </c:pt>
                <c:pt idx="182">
                  <c:v>3000</c:v>
                </c:pt>
                <c:pt idx="183">
                  <c:v>3000</c:v>
                </c:pt>
                <c:pt idx="184">
                  <c:v>3000</c:v>
                </c:pt>
                <c:pt idx="185">
                  <c:v>3000</c:v>
                </c:pt>
                <c:pt idx="186">
                  <c:v>3000</c:v>
                </c:pt>
                <c:pt idx="187">
                  <c:v>3000</c:v>
                </c:pt>
                <c:pt idx="188">
                  <c:v>3000</c:v>
                </c:pt>
                <c:pt idx="189">
                  <c:v>3000</c:v>
                </c:pt>
                <c:pt idx="190">
                  <c:v>3000</c:v>
                </c:pt>
                <c:pt idx="191">
                  <c:v>3000</c:v>
                </c:pt>
                <c:pt idx="192">
                  <c:v>3000</c:v>
                </c:pt>
                <c:pt idx="193">
                  <c:v>3000</c:v>
                </c:pt>
                <c:pt idx="194">
                  <c:v>3000</c:v>
                </c:pt>
                <c:pt idx="195">
                  <c:v>3000</c:v>
                </c:pt>
                <c:pt idx="196">
                  <c:v>3000</c:v>
                </c:pt>
                <c:pt idx="197">
                  <c:v>3000</c:v>
                </c:pt>
                <c:pt idx="198">
                  <c:v>3000</c:v>
                </c:pt>
                <c:pt idx="199">
                  <c:v>76000</c:v>
                </c:pt>
              </c:numCache>
            </c:numRef>
          </c:xVal>
          <c:yVal>
            <c:numRef>
              <c:f>曲線Lever計算!$V$8:$V$207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  <c:pt idx="8">
                  <c:v>0.85</c:v>
                </c:pt>
                <c:pt idx="9">
                  <c:v>0.85</c:v>
                </c:pt>
                <c:pt idx="10">
                  <c:v>0.85</c:v>
                </c:pt>
                <c:pt idx="11">
                  <c:v>0.85</c:v>
                </c:pt>
                <c:pt idx="12">
                  <c:v>0.85</c:v>
                </c:pt>
                <c:pt idx="13">
                  <c:v>0.85</c:v>
                </c:pt>
                <c:pt idx="14">
                  <c:v>0.85</c:v>
                </c:pt>
                <c:pt idx="15">
                  <c:v>0.85</c:v>
                </c:pt>
                <c:pt idx="16">
                  <c:v>0.85</c:v>
                </c:pt>
                <c:pt idx="17">
                  <c:v>0.85</c:v>
                </c:pt>
                <c:pt idx="18">
                  <c:v>0.85</c:v>
                </c:pt>
                <c:pt idx="19">
                  <c:v>0.85</c:v>
                </c:pt>
                <c:pt idx="20">
                  <c:v>0.85</c:v>
                </c:pt>
                <c:pt idx="21">
                  <c:v>0.85</c:v>
                </c:pt>
                <c:pt idx="22">
                  <c:v>0.85</c:v>
                </c:pt>
                <c:pt idx="23">
                  <c:v>0.85</c:v>
                </c:pt>
                <c:pt idx="24">
                  <c:v>0.85</c:v>
                </c:pt>
                <c:pt idx="25">
                  <c:v>0.85</c:v>
                </c:pt>
                <c:pt idx="26">
                  <c:v>0.85</c:v>
                </c:pt>
                <c:pt idx="27">
                  <c:v>0.85</c:v>
                </c:pt>
                <c:pt idx="28">
                  <c:v>0.85</c:v>
                </c:pt>
                <c:pt idx="29">
                  <c:v>0.85</c:v>
                </c:pt>
                <c:pt idx="30">
                  <c:v>0.85</c:v>
                </c:pt>
                <c:pt idx="31">
                  <c:v>0.85</c:v>
                </c:pt>
                <c:pt idx="32">
                  <c:v>0.85</c:v>
                </c:pt>
                <c:pt idx="33">
                  <c:v>0.85</c:v>
                </c:pt>
                <c:pt idx="34">
                  <c:v>0.85</c:v>
                </c:pt>
                <c:pt idx="35">
                  <c:v>0.85</c:v>
                </c:pt>
                <c:pt idx="36">
                  <c:v>0.85</c:v>
                </c:pt>
                <c:pt idx="37">
                  <c:v>0.85</c:v>
                </c:pt>
                <c:pt idx="38">
                  <c:v>0.85</c:v>
                </c:pt>
                <c:pt idx="39">
                  <c:v>0.85</c:v>
                </c:pt>
                <c:pt idx="40">
                  <c:v>0.85</c:v>
                </c:pt>
                <c:pt idx="41">
                  <c:v>0.85</c:v>
                </c:pt>
                <c:pt idx="42">
                  <c:v>0.85</c:v>
                </c:pt>
                <c:pt idx="43">
                  <c:v>0.85</c:v>
                </c:pt>
                <c:pt idx="44">
                  <c:v>0.85</c:v>
                </c:pt>
                <c:pt idx="45">
                  <c:v>0.85</c:v>
                </c:pt>
                <c:pt idx="46">
                  <c:v>0.85</c:v>
                </c:pt>
                <c:pt idx="47">
                  <c:v>0.85</c:v>
                </c:pt>
                <c:pt idx="48">
                  <c:v>0.85</c:v>
                </c:pt>
                <c:pt idx="49">
                  <c:v>0.85</c:v>
                </c:pt>
                <c:pt idx="50">
                  <c:v>0.85</c:v>
                </c:pt>
                <c:pt idx="51">
                  <c:v>0.85</c:v>
                </c:pt>
                <c:pt idx="52">
                  <c:v>0.85</c:v>
                </c:pt>
                <c:pt idx="53">
                  <c:v>0.85</c:v>
                </c:pt>
                <c:pt idx="54">
                  <c:v>0.85</c:v>
                </c:pt>
                <c:pt idx="55">
                  <c:v>0.85</c:v>
                </c:pt>
                <c:pt idx="56">
                  <c:v>0.85</c:v>
                </c:pt>
                <c:pt idx="57">
                  <c:v>0.85</c:v>
                </c:pt>
                <c:pt idx="58">
                  <c:v>0.85</c:v>
                </c:pt>
                <c:pt idx="59">
                  <c:v>0.85</c:v>
                </c:pt>
                <c:pt idx="60">
                  <c:v>0.85</c:v>
                </c:pt>
                <c:pt idx="61">
                  <c:v>0.85</c:v>
                </c:pt>
                <c:pt idx="62">
                  <c:v>0.85</c:v>
                </c:pt>
                <c:pt idx="63">
                  <c:v>0.85</c:v>
                </c:pt>
                <c:pt idx="64">
                  <c:v>0.85</c:v>
                </c:pt>
                <c:pt idx="65">
                  <c:v>0.85</c:v>
                </c:pt>
                <c:pt idx="66">
                  <c:v>0.85</c:v>
                </c:pt>
                <c:pt idx="67">
                  <c:v>0.85</c:v>
                </c:pt>
                <c:pt idx="68">
                  <c:v>0.85</c:v>
                </c:pt>
                <c:pt idx="69">
                  <c:v>0.85</c:v>
                </c:pt>
                <c:pt idx="70">
                  <c:v>0.85</c:v>
                </c:pt>
                <c:pt idx="71">
                  <c:v>0.85</c:v>
                </c:pt>
                <c:pt idx="72">
                  <c:v>0.85</c:v>
                </c:pt>
                <c:pt idx="73">
                  <c:v>0.85</c:v>
                </c:pt>
                <c:pt idx="74">
                  <c:v>0.85</c:v>
                </c:pt>
                <c:pt idx="75">
                  <c:v>0.85</c:v>
                </c:pt>
                <c:pt idx="76">
                  <c:v>0.85</c:v>
                </c:pt>
                <c:pt idx="77">
                  <c:v>0.85</c:v>
                </c:pt>
                <c:pt idx="78">
                  <c:v>0.85</c:v>
                </c:pt>
                <c:pt idx="79">
                  <c:v>0.85</c:v>
                </c:pt>
                <c:pt idx="80">
                  <c:v>0.85</c:v>
                </c:pt>
                <c:pt idx="81">
                  <c:v>0.85</c:v>
                </c:pt>
                <c:pt idx="82">
                  <c:v>0.85</c:v>
                </c:pt>
                <c:pt idx="83">
                  <c:v>0.85</c:v>
                </c:pt>
                <c:pt idx="84">
                  <c:v>0.85</c:v>
                </c:pt>
                <c:pt idx="85">
                  <c:v>0.85</c:v>
                </c:pt>
                <c:pt idx="86">
                  <c:v>0.85</c:v>
                </c:pt>
                <c:pt idx="87">
                  <c:v>0.85</c:v>
                </c:pt>
                <c:pt idx="88">
                  <c:v>0.85</c:v>
                </c:pt>
                <c:pt idx="89">
                  <c:v>0.85</c:v>
                </c:pt>
                <c:pt idx="90">
                  <c:v>0.85</c:v>
                </c:pt>
                <c:pt idx="91">
                  <c:v>0.85</c:v>
                </c:pt>
                <c:pt idx="92">
                  <c:v>0.85</c:v>
                </c:pt>
                <c:pt idx="93">
                  <c:v>0.85</c:v>
                </c:pt>
                <c:pt idx="94">
                  <c:v>0.85</c:v>
                </c:pt>
                <c:pt idx="95">
                  <c:v>0.85</c:v>
                </c:pt>
                <c:pt idx="96">
                  <c:v>0.85</c:v>
                </c:pt>
                <c:pt idx="97">
                  <c:v>0.85</c:v>
                </c:pt>
                <c:pt idx="98">
                  <c:v>0.85</c:v>
                </c:pt>
                <c:pt idx="99">
                  <c:v>0.85</c:v>
                </c:pt>
                <c:pt idx="100">
                  <c:v>0.85</c:v>
                </c:pt>
                <c:pt idx="101">
                  <c:v>0.85</c:v>
                </c:pt>
                <c:pt idx="102">
                  <c:v>0.85</c:v>
                </c:pt>
                <c:pt idx="103">
                  <c:v>0.85</c:v>
                </c:pt>
                <c:pt idx="104">
                  <c:v>0.85</c:v>
                </c:pt>
                <c:pt idx="105">
                  <c:v>0.85</c:v>
                </c:pt>
                <c:pt idx="106">
                  <c:v>0.85</c:v>
                </c:pt>
                <c:pt idx="107">
                  <c:v>0.85</c:v>
                </c:pt>
                <c:pt idx="108">
                  <c:v>0.85</c:v>
                </c:pt>
                <c:pt idx="109">
                  <c:v>0.85</c:v>
                </c:pt>
                <c:pt idx="110">
                  <c:v>0.85</c:v>
                </c:pt>
                <c:pt idx="111">
                  <c:v>0.85</c:v>
                </c:pt>
                <c:pt idx="112">
                  <c:v>0.85</c:v>
                </c:pt>
                <c:pt idx="113">
                  <c:v>0.85</c:v>
                </c:pt>
                <c:pt idx="114">
                  <c:v>0.85</c:v>
                </c:pt>
                <c:pt idx="115">
                  <c:v>0.85</c:v>
                </c:pt>
                <c:pt idx="116">
                  <c:v>0.85</c:v>
                </c:pt>
                <c:pt idx="117">
                  <c:v>0.85</c:v>
                </c:pt>
                <c:pt idx="118">
                  <c:v>0.85</c:v>
                </c:pt>
                <c:pt idx="119">
                  <c:v>0.85</c:v>
                </c:pt>
                <c:pt idx="120">
                  <c:v>0.85</c:v>
                </c:pt>
                <c:pt idx="121">
                  <c:v>0.85</c:v>
                </c:pt>
                <c:pt idx="122">
                  <c:v>0.85</c:v>
                </c:pt>
                <c:pt idx="123">
                  <c:v>0.85</c:v>
                </c:pt>
                <c:pt idx="124">
                  <c:v>0.85</c:v>
                </c:pt>
                <c:pt idx="125">
                  <c:v>0.85</c:v>
                </c:pt>
                <c:pt idx="126">
                  <c:v>0.85</c:v>
                </c:pt>
                <c:pt idx="127">
                  <c:v>0.85</c:v>
                </c:pt>
                <c:pt idx="128">
                  <c:v>0.85</c:v>
                </c:pt>
                <c:pt idx="129">
                  <c:v>0.85</c:v>
                </c:pt>
                <c:pt idx="130">
                  <c:v>0.85</c:v>
                </c:pt>
                <c:pt idx="131">
                  <c:v>0.85</c:v>
                </c:pt>
                <c:pt idx="132">
                  <c:v>0.85</c:v>
                </c:pt>
                <c:pt idx="133">
                  <c:v>0.85</c:v>
                </c:pt>
                <c:pt idx="134">
                  <c:v>0.85</c:v>
                </c:pt>
                <c:pt idx="135">
                  <c:v>0.85</c:v>
                </c:pt>
                <c:pt idx="136">
                  <c:v>0.85</c:v>
                </c:pt>
                <c:pt idx="137">
                  <c:v>0.85</c:v>
                </c:pt>
                <c:pt idx="138">
                  <c:v>0.85</c:v>
                </c:pt>
                <c:pt idx="139">
                  <c:v>0.85</c:v>
                </c:pt>
                <c:pt idx="140">
                  <c:v>0.85</c:v>
                </c:pt>
                <c:pt idx="141">
                  <c:v>0.85</c:v>
                </c:pt>
                <c:pt idx="142">
                  <c:v>0.85</c:v>
                </c:pt>
                <c:pt idx="143">
                  <c:v>0.85</c:v>
                </c:pt>
                <c:pt idx="144">
                  <c:v>0.85</c:v>
                </c:pt>
                <c:pt idx="145">
                  <c:v>0.85</c:v>
                </c:pt>
                <c:pt idx="146">
                  <c:v>0.85</c:v>
                </c:pt>
                <c:pt idx="147">
                  <c:v>0.85</c:v>
                </c:pt>
                <c:pt idx="148">
                  <c:v>0.85</c:v>
                </c:pt>
                <c:pt idx="149">
                  <c:v>0.85</c:v>
                </c:pt>
                <c:pt idx="150">
                  <c:v>0.85</c:v>
                </c:pt>
                <c:pt idx="151">
                  <c:v>0.85</c:v>
                </c:pt>
                <c:pt idx="152">
                  <c:v>0.85</c:v>
                </c:pt>
                <c:pt idx="153">
                  <c:v>0.85</c:v>
                </c:pt>
                <c:pt idx="154">
                  <c:v>0.85</c:v>
                </c:pt>
                <c:pt idx="155">
                  <c:v>0.85</c:v>
                </c:pt>
                <c:pt idx="156">
                  <c:v>0.85</c:v>
                </c:pt>
                <c:pt idx="157">
                  <c:v>0.85</c:v>
                </c:pt>
                <c:pt idx="158">
                  <c:v>0.85</c:v>
                </c:pt>
                <c:pt idx="159">
                  <c:v>0.85</c:v>
                </c:pt>
                <c:pt idx="160">
                  <c:v>0.85</c:v>
                </c:pt>
                <c:pt idx="161">
                  <c:v>0.85</c:v>
                </c:pt>
                <c:pt idx="162">
                  <c:v>0.85</c:v>
                </c:pt>
                <c:pt idx="163">
                  <c:v>0.85</c:v>
                </c:pt>
                <c:pt idx="164">
                  <c:v>0.85</c:v>
                </c:pt>
                <c:pt idx="165">
                  <c:v>0.85</c:v>
                </c:pt>
                <c:pt idx="166">
                  <c:v>0.85</c:v>
                </c:pt>
                <c:pt idx="167">
                  <c:v>0.85</c:v>
                </c:pt>
                <c:pt idx="168">
                  <c:v>0.85</c:v>
                </c:pt>
                <c:pt idx="169">
                  <c:v>0.85</c:v>
                </c:pt>
                <c:pt idx="170">
                  <c:v>0.85</c:v>
                </c:pt>
                <c:pt idx="171">
                  <c:v>0.85</c:v>
                </c:pt>
                <c:pt idx="172">
                  <c:v>0.85</c:v>
                </c:pt>
                <c:pt idx="173">
                  <c:v>0.85</c:v>
                </c:pt>
                <c:pt idx="174">
                  <c:v>0.85</c:v>
                </c:pt>
                <c:pt idx="175">
                  <c:v>0.85</c:v>
                </c:pt>
                <c:pt idx="176">
                  <c:v>0.85</c:v>
                </c:pt>
                <c:pt idx="177">
                  <c:v>0.85</c:v>
                </c:pt>
                <c:pt idx="178">
                  <c:v>0.85</c:v>
                </c:pt>
                <c:pt idx="179">
                  <c:v>0.85</c:v>
                </c:pt>
                <c:pt idx="180">
                  <c:v>0.85</c:v>
                </c:pt>
                <c:pt idx="181">
                  <c:v>0.85</c:v>
                </c:pt>
                <c:pt idx="182">
                  <c:v>0.85</c:v>
                </c:pt>
                <c:pt idx="183">
                  <c:v>0.85</c:v>
                </c:pt>
                <c:pt idx="184">
                  <c:v>0.85</c:v>
                </c:pt>
                <c:pt idx="185">
                  <c:v>0.85</c:v>
                </c:pt>
                <c:pt idx="186">
                  <c:v>0.85</c:v>
                </c:pt>
                <c:pt idx="187">
                  <c:v>0.85</c:v>
                </c:pt>
                <c:pt idx="188">
                  <c:v>0.85</c:v>
                </c:pt>
                <c:pt idx="189">
                  <c:v>0.85</c:v>
                </c:pt>
                <c:pt idx="190">
                  <c:v>0.85</c:v>
                </c:pt>
                <c:pt idx="191">
                  <c:v>0.85</c:v>
                </c:pt>
                <c:pt idx="192">
                  <c:v>0.85</c:v>
                </c:pt>
                <c:pt idx="193">
                  <c:v>0.85</c:v>
                </c:pt>
                <c:pt idx="194">
                  <c:v>0.85</c:v>
                </c:pt>
                <c:pt idx="195">
                  <c:v>0.85</c:v>
                </c:pt>
                <c:pt idx="196">
                  <c:v>0.85</c:v>
                </c:pt>
                <c:pt idx="197">
                  <c:v>0.85</c:v>
                </c:pt>
                <c:pt idx="198">
                  <c:v>0.85</c:v>
                </c:pt>
                <c:pt idx="199">
                  <c:v>0.85</c:v>
                </c:pt>
              </c:numCache>
            </c:numRef>
          </c:yVal>
          <c:smooth val="0"/>
        </c:ser>
        <c:ser>
          <c:idx val="17"/>
          <c:order val="5"/>
          <c:tx>
            <c:strRef>
              <c:f>协调曲线图!$D$90</c:f>
              <c:strCache>
                <c:ptCount val="1"/>
                <c:pt idx="0">
                  <c:v>--------------------20Kv进线</c:v>
                </c:pt>
              </c:strCache>
            </c:strRef>
          </c:tx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9.1893780573025829E-2"/>
                  <c:y val="-0.1100628930817610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8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曲線Lever計算!$AC$8:$AC$207</c:f>
              <c:numCache>
                <c:formatCode>General</c:formatCode>
                <c:ptCount val="200"/>
                <c:pt idx="0">
                  <c:v>600</c:v>
                </c:pt>
                <c:pt idx="1">
                  <c:v>1000</c:v>
                </c:pt>
                <c:pt idx="2">
                  <c:v>1500</c:v>
                </c:pt>
                <c:pt idx="3">
                  <c:v>2000</c:v>
                </c:pt>
                <c:pt idx="4">
                  <c:v>2500</c:v>
                </c:pt>
                <c:pt idx="5">
                  <c:v>3000</c:v>
                </c:pt>
                <c:pt idx="6">
                  <c:v>3500</c:v>
                </c:pt>
                <c:pt idx="7">
                  <c:v>4000</c:v>
                </c:pt>
                <c:pt idx="8">
                  <c:v>4500</c:v>
                </c:pt>
                <c:pt idx="9">
                  <c:v>5000</c:v>
                </c:pt>
                <c:pt idx="10">
                  <c:v>5000</c:v>
                </c:pt>
                <c:pt idx="11">
                  <c:v>5000</c:v>
                </c:pt>
                <c:pt idx="12">
                  <c:v>5000</c:v>
                </c:pt>
                <c:pt idx="13">
                  <c:v>5000</c:v>
                </c:pt>
                <c:pt idx="14">
                  <c:v>5000</c:v>
                </c:pt>
                <c:pt idx="15">
                  <c:v>5000</c:v>
                </c:pt>
                <c:pt idx="16">
                  <c:v>5000</c:v>
                </c:pt>
                <c:pt idx="17">
                  <c:v>5000</c:v>
                </c:pt>
                <c:pt idx="18">
                  <c:v>5000</c:v>
                </c:pt>
                <c:pt idx="19">
                  <c:v>5000</c:v>
                </c:pt>
                <c:pt idx="20">
                  <c:v>5000</c:v>
                </c:pt>
                <c:pt idx="21">
                  <c:v>5000</c:v>
                </c:pt>
                <c:pt idx="22">
                  <c:v>5000</c:v>
                </c:pt>
                <c:pt idx="23">
                  <c:v>5000</c:v>
                </c:pt>
                <c:pt idx="24">
                  <c:v>5000</c:v>
                </c:pt>
                <c:pt idx="25">
                  <c:v>5000</c:v>
                </c:pt>
                <c:pt idx="26">
                  <c:v>5000</c:v>
                </c:pt>
                <c:pt idx="27">
                  <c:v>5000</c:v>
                </c:pt>
                <c:pt idx="28">
                  <c:v>5000</c:v>
                </c:pt>
                <c:pt idx="29">
                  <c:v>5000</c:v>
                </c:pt>
                <c:pt idx="30">
                  <c:v>5000</c:v>
                </c:pt>
                <c:pt idx="31">
                  <c:v>5000</c:v>
                </c:pt>
                <c:pt idx="32">
                  <c:v>5000</c:v>
                </c:pt>
                <c:pt idx="33">
                  <c:v>5000</c:v>
                </c:pt>
                <c:pt idx="34">
                  <c:v>5000</c:v>
                </c:pt>
                <c:pt idx="35">
                  <c:v>5000</c:v>
                </c:pt>
                <c:pt idx="36">
                  <c:v>5000</c:v>
                </c:pt>
                <c:pt idx="37">
                  <c:v>5000</c:v>
                </c:pt>
                <c:pt idx="38">
                  <c:v>5000</c:v>
                </c:pt>
                <c:pt idx="39">
                  <c:v>5000</c:v>
                </c:pt>
                <c:pt idx="40">
                  <c:v>5000</c:v>
                </c:pt>
                <c:pt idx="41">
                  <c:v>5000</c:v>
                </c:pt>
                <c:pt idx="42">
                  <c:v>5000</c:v>
                </c:pt>
                <c:pt idx="43">
                  <c:v>5000</c:v>
                </c:pt>
                <c:pt idx="44">
                  <c:v>5000</c:v>
                </c:pt>
                <c:pt idx="45">
                  <c:v>5000</c:v>
                </c:pt>
                <c:pt idx="46">
                  <c:v>5000</c:v>
                </c:pt>
                <c:pt idx="47">
                  <c:v>5000</c:v>
                </c:pt>
                <c:pt idx="48">
                  <c:v>5000</c:v>
                </c:pt>
                <c:pt idx="49">
                  <c:v>5000</c:v>
                </c:pt>
                <c:pt idx="50">
                  <c:v>5000</c:v>
                </c:pt>
                <c:pt idx="51">
                  <c:v>5000</c:v>
                </c:pt>
                <c:pt idx="52">
                  <c:v>5000</c:v>
                </c:pt>
                <c:pt idx="53">
                  <c:v>5000</c:v>
                </c:pt>
                <c:pt idx="54">
                  <c:v>5000</c:v>
                </c:pt>
                <c:pt idx="55">
                  <c:v>5000</c:v>
                </c:pt>
                <c:pt idx="56">
                  <c:v>5000</c:v>
                </c:pt>
                <c:pt idx="57">
                  <c:v>5000</c:v>
                </c:pt>
                <c:pt idx="58">
                  <c:v>5000</c:v>
                </c:pt>
                <c:pt idx="59">
                  <c:v>5000</c:v>
                </c:pt>
                <c:pt idx="60">
                  <c:v>5000</c:v>
                </c:pt>
                <c:pt idx="61">
                  <c:v>5000</c:v>
                </c:pt>
                <c:pt idx="62">
                  <c:v>5000</c:v>
                </c:pt>
                <c:pt idx="63">
                  <c:v>5000</c:v>
                </c:pt>
                <c:pt idx="64">
                  <c:v>5000</c:v>
                </c:pt>
                <c:pt idx="65">
                  <c:v>5000</c:v>
                </c:pt>
                <c:pt idx="66">
                  <c:v>5000</c:v>
                </c:pt>
                <c:pt idx="67">
                  <c:v>5000</c:v>
                </c:pt>
                <c:pt idx="68">
                  <c:v>5000</c:v>
                </c:pt>
                <c:pt idx="69">
                  <c:v>5000</c:v>
                </c:pt>
                <c:pt idx="70">
                  <c:v>5000</c:v>
                </c:pt>
                <c:pt idx="71">
                  <c:v>5000</c:v>
                </c:pt>
                <c:pt idx="72">
                  <c:v>5000</c:v>
                </c:pt>
                <c:pt idx="73">
                  <c:v>5000</c:v>
                </c:pt>
                <c:pt idx="74">
                  <c:v>5000</c:v>
                </c:pt>
                <c:pt idx="75">
                  <c:v>5000</c:v>
                </c:pt>
                <c:pt idx="76">
                  <c:v>5000</c:v>
                </c:pt>
                <c:pt idx="77">
                  <c:v>5000</c:v>
                </c:pt>
                <c:pt idx="78">
                  <c:v>5000</c:v>
                </c:pt>
                <c:pt idx="79">
                  <c:v>5000</c:v>
                </c:pt>
                <c:pt idx="80">
                  <c:v>5000</c:v>
                </c:pt>
                <c:pt idx="81">
                  <c:v>5000</c:v>
                </c:pt>
                <c:pt idx="82">
                  <c:v>5000</c:v>
                </c:pt>
                <c:pt idx="83">
                  <c:v>5000</c:v>
                </c:pt>
                <c:pt idx="84">
                  <c:v>5000</c:v>
                </c:pt>
                <c:pt idx="85">
                  <c:v>5000</c:v>
                </c:pt>
                <c:pt idx="86">
                  <c:v>5000</c:v>
                </c:pt>
                <c:pt idx="87">
                  <c:v>5000</c:v>
                </c:pt>
                <c:pt idx="88">
                  <c:v>5000</c:v>
                </c:pt>
                <c:pt idx="89">
                  <c:v>5000</c:v>
                </c:pt>
                <c:pt idx="90">
                  <c:v>5000</c:v>
                </c:pt>
                <c:pt idx="91">
                  <c:v>5000</c:v>
                </c:pt>
                <c:pt idx="92">
                  <c:v>5000</c:v>
                </c:pt>
                <c:pt idx="93">
                  <c:v>5000</c:v>
                </c:pt>
                <c:pt idx="94">
                  <c:v>5000</c:v>
                </c:pt>
                <c:pt idx="95">
                  <c:v>5000</c:v>
                </c:pt>
                <c:pt idx="96">
                  <c:v>5000</c:v>
                </c:pt>
                <c:pt idx="97">
                  <c:v>5000</c:v>
                </c:pt>
                <c:pt idx="98">
                  <c:v>5000</c:v>
                </c:pt>
                <c:pt idx="99">
                  <c:v>5000</c:v>
                </c:pt>
                <c:pt idx="100">
                  <c:v>5000</c:v>
                </c:pt>
                <c:pt idx="101">
                  <c:v>5000</c:v>
                </c:pt>
                <c:pt idx="102">
                  <c:v>5000</c:v>
                </c:pt>
                <c:pt idx="103">
                  <c:v>5000</c:v>
                </c:pt>
                <c:pt idx="104">
                  <c:v>5000</c:v>
                </c:pt>
                <c:pt idx="105">
                  <c:v>5000</c:v>
                </c:pt>
                <c:pt idx="106">
                  <c:v>5000</c:v>
                </c:pt>
                <c:pt idx="107">
                  <c:v>5000</c:v>
                </c:pt>
                <c:pt idx="108">
                  <c:v>5000</c:v>
                </c:pt>
                <c:pt idx="109">
                  <c:v>5000</c:v>
                </c:pt>
                <c:pt idx="110">
                  <c:v>5000</c:v>
                </c:pt>
                <c:pt idx="111">
                  <c:v>5000</c:v>
                </c:pt>
                <c:pt idx="112">
                  <c:v>5000</c:v>
                </c:pt>
                <c:pt idx="113">
                  <c:v>5000</c:v>
                </c:pt>
                <c:pt idx="114">
                  <c:v>5000</c:v>
                </c:pt>
                <c:pt idx="115">
                  <c:v>5000</c:v>
                </c:pt>
                <c:pt idx="116">
                  <c:v>5000</c:v>
                </c:pt>
                <c:pt idx="117">
                  <c:v>5000</c:v>
                </c:pt>
                <c:pt idx="118">
                  <c:v>5000</c:v>
                </c:pt>
                <c:pt idx="119">
                  <c:v>5000</c:v>
                </c:pt>
                <c:pt idx="120">
                  <c:v>5000</c:v>
                </c:pt>
                <c:pt idx="121">
                  <c:v>5000</c:v>
                </c:pt>
                <c:pt idx="122">
                  <c:v>5000</c:v>
                </c:pt>
                <c:pt idx="123">
                  <c:v>5000</c:v>
                </c:pt>
                <c:pt idx="124">
                  <c:v>5000</c:v>
                </c:pt>
                <c:pt idx="125">
                  <c:v>5000</c:v>
                </c:pt>
                <c:pt idx="126">
                  <c:v>5000</c:v>
                </c:pt>
                <c:pt idx="127">
                  <c:v>5000</c:v>
                </c:pt>
                <c:pt idx="128">
                  <c:v>5000</c:v>
                </c:pt>
                <c:pt idx="129">
                  <c:v>5000</c:v>
                </c:pt>
                <c:pt idx="130">
                  <c:v>5000</c:v>
                </c:pt>
                <c:pt idx="131">
                  <c:v>5000</c:v>
                </c:pt>
                <c:pt idx="132">
                  <c:v>5000</c:v>
                </c:pt>
                <c:pt idx="133">
                  <c:v>5000</c:v>
                </c:pt>
                <c:pt idx="134">
                  <c:v>5000</c:v>
                </c:pt>
                <c:pt idx="135">
                  <c:v>5000</c:v>
                </c:pt>
                <c:pt idx="136">
                  <c:v>5000</c:v>
                </c:pt>
                <c:pt idx="137">
                  <c:v>5000</c:v>
                </c:pt>
                <c:pt idx="138">
                  <c:v>5000</c:v>
                </c:pt>
                <c:pt idx="139">
                  <c:v>5000</c:v>
                </c:pt>
                <c:pt idx="140">
                  <c:v>5000</c:v>
                </c:pt>
                <c:pt idx="141">
                  <c:v>5000</c:v>
                </c:pt>
                <c:pt idx="142">
                  <c:v>5000</c:v>
                </c:pt>
                <c:pt idx="143">
                  <c:v>5000</c:v>
                </c:pt>
                <c:pt idx="144">
                  <c:v>5000</c:v>
                </c:pt>
                <c:pt idx="145">
                  <c:v>5000</c:v>
                </c:pt>
                <c:pt idx="146">
                  <c:v>5000</c:v>
                </c:pt>
                <c:pt idx="147">
                  <c:v>5000</c:v>
                </c:pt>
                <c:pt idx="148">
                  <c:v>5000</c:v>
                </c:pt>
                <c:pt idx="149">
                  <c:v>5000</c:v>
                </c:pt>
                <c:pt idx="150">
                  <c:v>5000</c:v>
                </c:pt>
                <c:pt idx="151">
                  <c:v>5000</c:v>
                </c:pt>
                <c:pt idx="152">
                  <c:v>5000</c:v>
                </c:pt>
                <c:pt idx="153">
                  <c:v>5000</c:v>
                </c:pt>
                <c:pt idx="154">
                  <c:v>5000</c:v>
                </c:pt>
                <c:pt idx="155">
                  <c:v>5000</c:v>
                </c:pt>
                <c:pt idx="156">
                  <c:v>5000</c:v>
                </c:pt>
                <c:pt idx="157">
                  <c:v>5000</c:v>
                </c:pt>
                <c:pt idx="158">
                  <c:v>5000</c:v>
                </c:pt>
                <c:pt idx="159">
                  <c:v>5000</c:v>
                </c:pt>
                <c:pt idx="160">
                  <c:v>5000</c:v>
                </c:pt>
                <c:pt idx="161">
                  <c:v>5000</c:v>
                </c:pt>
                <c:pt idx="162">
                  <c:v>5000</c:v>
                </c:pt>
                <c:pt idx="163">
                  <c:v>5000</c:v>
                </c:pt>
                <c:pt idx="164">
                  <c:v>5000</c:v>
                </c:pt>
                <c:pt idx="165">
                  <c:v>5000</c:v>
                </c:pt>
                <c:pt idx="166">
                  <c:v>5000</c:v>
                </c:pt>
                <c:pt idx="167">
                  <c:v>5000</c:v>
                </c:pt>
                <c:pt idx="168">
                  <c:v>5000</c:v>
                </c:pt>
                <c:pt idx="169">
                  <c:v>5000</c:v>
                </c:pt>
                <c:pt idx="170">
                  <c:v>5000</c:v>
                </c:pt>
                <c:pt idx="171">
                  <c:v>5000</c:v>
                </c:pt>
                <c:pt idx="172">
                  <c:v>5000</c:v>
                </c:pt>
                <c:pt idx="173">
                  <c:v>5000</c:v>
                </c:pt>
                <c:pt idx="174">
                  <c:v>5000</c:v>
                </c:pt>
                <c:pt idx="175">
                  <c:v>5000</c:v>
                </c:pt>
                <c:pt idx="176">
                  <c:v>5000</c:v>
                </c:pt>
                <c:pt idx="177">
                  <c:v>5000</c:v>
                </c:pt>
                <c:pt idx="178">
                  <c:v>5000</c:v>
                </c:pt>
                <c:pt idx="179">
                  <c:v>5000</c:v>
                </c:pt>
                <c:pt idx="180">
                  <c:v>5000</c:v>
                </c:pt>
                <c:pt idx="181">
                  <c:v>5000</c:v>
                </c:pt>
                <c:pt idx="182">
                  <c:v>5000</c:v>
                </c:pt>
                <c:pt idx="183">
                  <c:v>5000</c:v>
                </c:pt>
                <c:pt idx="184">
                  <c:v>5000</c:v>
                </c:pt>
                <c:pt idx="185">
                  <c:v>5000</c:v>
                </c:pt>
                <c:pt idx="186">
                  <c:v>5000</c:v>
                </c:pt>
                <c:pt idx="187">
                  <c:v>5000</c:v>
                </c:pt>
                <c:pt idx="188">
                  <c:v>5000</c:v>
                </c:pt>
                <c:pt idx="189">
                  <c:v>5000</c:v>
                </c:pt>
                <c:pt idx="190">
                  <c:v>5000</c:v>
                </c:pt>
                <c:pt idx="191">
                  <c:v>5000</c:v>
                </c:pt>
                <c:pt idx="192">
                  <c:v>5000</c:v>
                </c:pt>
                <c:pt idx="193">
                  <c:v>5000</c:v>
                </c:pt>
                <c:pt idx="194">
                  <c:v>5000</c:v>
                </c:pt>
                <c:pt idx="195">
                  <c:v>5000</c:v>
                </c:pt>
                <c:pt idx="196">
                  <c:v>5000</c:v>
                </c:pt>
                <c:pt idx="197">
                  <c:v>5000</c:v>
                </c:pt>
                <c:pt idx="198">
                  <c:v>5000</c:v>
                </c:pt>
                <c:pt idx="199">
                  <c:v>100000</c:v>
                </c:pt>
              </c:numCache>
            </c:numRef>
          </c:xVal>
          <c:yVal>
            <c:numRef>
              <c:f>曲線Lever計算!$AA$8:$AA$207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1.05</c:v>
                </c:pt>
                <c:pt idx="4">
                  <c:v>1.05</c:v>
                </c:pt>
                <c:pt idx="5">
                  <c:v>1.05</c:v>
                </c:pt>
                <c:pt idx="6">
                  <c:v>1.05</c:v>
                </c:pt>
                <c:pt idx="7">
                  <c:v>1.05</c:v>
                </c:pt>
                <c:pt idx="8">
                  <c:v>1.05</c:v>
                </c:pt>
                <c:pt idx="9">
                  <c:v>1.05</c:v>
                </c:pt>
                <c:pt idx="10">
                  <c:v>1.05</c:v>
                </c:pt>
                <c:pt idx="11">
                  <c:v>1.05</c:v>
                </c:pt>
                <c:pt idx="12">
                  <c:v>1.05</c:v>
                </c:pt>
                <c:pt idx="13">
                  <c:v>1.05</c:v>
                </c:pt>
                <c:pt idx="14">
                  <c:v>1.05</c:v>
                </c:pt>
                <c:pt idx="15">
                  <c:v>1.05</c:v>
                </c:pt>
                <c:pt idx="16">
                  <c:v>1.05</c:v>
                </c:pt>
                <c:pt idx="17">
                  <c:v>1.05</c:v>
                </c:pt>
                <c:pt idx="18">
                  <c:v>1.05</c:v>
                </c:pt>
                <c:pt idx="19">
                  <c:v>1.05</c:v>
                </c:pt>
                <c:pt idx="20">
                  <c:v>1.05</c:v>
                </c:pt>
                <c:pt idx="21">
                  <c:v>1.05</c:v>
                </c:pt>
                <c:pt idx="22">
                  <c:v>1.05</c:v>
                </c:pt>
                <c:pt idx="23">
                  <c:v>1.05</c:v>
                </c:pt>
                <c:pt idx="24">
                  <c:v>1.05</c:v>
                </c:pt>
                <c:pt idx="25">
                  <c:v>1.05</c:v>
                </c:pt>
                <c:pt idx="26">
                  <c:v>1.05</c:v>
                </c:pt>
                <c:pt idx="27">
                  <c:v>1.05</c:v>
                </c:pt>
                <c:pt idx="28">
                  <c:v>1.05</c:v>
                </c:pt>
                <c:pt idx="29">
                  <c:v>1.05</c:v>
                </c:pt>
                <c:pt idx="30">
                  <c:v>1.05</c:v>
                </c:pt>
                <c:pt idx="31">
                  <c:v>1.05</c:v>
                </c:pt>
                <c:pt idx="32">
                  <c:v>1.05</c:v>
                </c:pt>
                <c:pt idx="33">
                  <c:v>1.05</c:v>
                </c:pt>
                <c:pt idx="34">
                  <c:v>1.05</c:v>
                </c:pt>
                <c:pt idx="35">
                  <c:v>1.05</c:v>
                </c:pt>
                <c:pt idx="36">
                  <c:v>1.05</c:v>
                </c:pt>
                <c:pt idx="37">
                  <c:v>1.05</c:v>
                </c:pt>
                <c:pt idx="38">
                  <c:v>1.05</c:v>
                </c:pt>
                <c:pt idx="39">
                  <c:v>1.05</c:v>
                </c:pt>
                <c:pt idx="40">
                  <c:v>1.05</c:v>
                </c:pt>
                <c:pt idx="41">
                  <c:v>1.05</c:v>
                </c:pt>
                <c:pt idx="42">
                  <c:v>1.05</c:v>
                </c:pt>
                <c:pt idx="43">
                  <c:v>1.05</c:v>
                </c:pt>
                <c:pt idx="44">
                  <c:v>1.05</c:v>
                </c:pt>
                <c:pt idx="45">
                  <c:v>1.05</c:v>
                </c:pt>
                <c:pt idx="46">
                  <c:v>1.05</c:v>
                </c:pt>
                <c:pt idx="47">
                  <c:v>1.05</c:v>
                </c:pt>
                <c:pt idx="48">
                  <c:v>1.05</c:v>
                </c:pt>
                <c:pt idx="49">
                  <c:v>1.05</c:v>
                </c:pt>
                <c:pt idx="50">
                  <c:v>1.05</c:v>
                </c:pt>
                <c:pt idx="51">
                  <c:v>1.05</c:v>
                </c:pt>
                <c:pt idx="52">
                  <c:v>1.05</c:v>
                </c:pt>
                <c:pt idx="53">
                  <c:v>1.05</c:v>
                </c:pt>
                <c:pt idx="54">
                  <c:v>1.05</c:v>
                </c:pt>
                <c:pt idx="55">
                  <c:v>1.05</c:v>
                </c:pt>
                <c:pt idx="56">
                  <c:v>1.05</c:v>
                </c:pt>
                <c:pt idx="57">
                  <c:v>1.05</c:v>
                </c:pt>
                <c:pt idx="58">
                  <c:v>1.05</c:v>
                </c:pt>
                <c:pt idx="59">
                  <c:v>1.05</c:v>
                </c:pt>
                <c:pt idx="60">
                  <c:v>1.05</c:v>
                </c:pt>
                <c:pt idx="61">
                  <c:v>1.05</c:v>
                </c:pt>
                <c:pt idx="62">
                  <c:v>1.05</c:v>
                </c:pt>
                <c:pt idx="63">
                  <c:v>1.05</c:v>
                </c:pt>
                <c:pt idx="64">
                  <c:v>1.05</c:v>
                </c:pt>
                <c:pt idx="65">
                  <c:v>1.05</c:v>
                </c:pt>
                <c:pt idx="66">
                  <c:v>1.05</c:v>
                </c:pt>
                <c:pt idx="67">
                  <c:v>1.05</c:v>
                </c:pt>
                <c:pt idx="68">
                  <c:v>1.05</c:v>
                </c:pt>
                <c:pt idx="69">
                  <c:v>1.05</c:v>
                </c:pt>
                <c:pt idx="70">
                  <c:v>1.05</c:v>
                </c:pt>
                <c:pt idx="71">
                  <c:v>1.05</c:v>
                </c:pt>
                <c:pt idx="72">
                  <c:v>1.05</c:v>
                </c:pt>
                <c:pt idx="73">
                  <c:v>1.05</c:v>
                </c:pt>
                <c:pt idx="74">
                  <c:v>1.05</c:v>
                </c:pt>
                <c:pt idx="75">
                  <c:v>1.05</c:v>
                </c:pt>
                <c:pt idx="76">
                  <c:v>1.05</c:v>
                </c:pt>
                <c:pt idx="77">
                  <c:v>1.05</c:v>
                </c:pt>
                <c:pt idx="78">
                  <c:v>1.05</c:v>
                </c:pt>
                <c:pt idx="79">
                  <c:v>1.05</c:v>
                </c:pt>
                <c:pt idx="80">
                  <c:v>1.05</c:v>
                </c:pt>
                <c:pt idx="81">
                  <c:v>1.05</c:v>
                </c:pt>
                <c:pt idx="82">
                  <c:v>1.05</c:v>
                </c:pt>
                <c:pt idx="83">
                  <c:v>1.05</c:v>
                </c:pt>
                <c:pt idx="84">
                  <c:v>1.05</c:v>
                </c:pt>
                <c:pt idx="85">
                  <c:v>1.05</c:v>
                </c:pt>
                <c:pt idx="86">
                  <c:v>1.05</c:v>
                </c:pt>
                <c:pt idx="87">
                  <c:v>1.05</c:v>
                </c:pt>
                <c:pt idx="88">
                  <c:v>1.05</c:v>
                </c:pt>
                <c:pt idx="89">
                  <c:v>1.05</c:v>
                </c:pt>
                <c:pt idx="90">
                  <c:v>1.05</c:v>
                </c:pt>
                <c:pt idx="91">
                  <c:v>1.05</c:v>
                </c:pt>
                <c:pt idx="92">
                  <c:v>1.05</c:v>
                </c:pt>
                <c:pt idx="93">
                  <c:v>1.05</c:v>
                </c:pt>
                <c:pt idx="94">
                  <c:v>1.05</c:v>
                </c:pt>
                <c:pt idx="95">
                  <c:v>1.05</c:v>
                </c:pt>
                <c:pt idx="96">
                  <c:v>1.05</c:v>
                </c:pt>
                <c:pt idx="97">
                  <c:v>1.05</c:v>
                </c:pt>
                <c:pt idx="98">
                  <c:v>1.05</c:v>
                </c:pt>
                <c:pt idx="99">
                  <c:v>1.05</c:v>
                </c:pt>
                <c:pt idx="100">
                  <c:v>1.05</c:v>
                </c:pt>
                <c:pt idx="101">
                  <c:v>1.05</c:v>
                </c:pt>
                <c:pt idx="102">
                  <c:v>1.05</c:v>
                </c:pt>
                <c:pt idx="103">
                  <c:v>1.05</c:v>
                </c:pt>
                <c:pt idx="104">
                  <c:v>1.05</c:v>
                </c:pt>
                <c:pt idx="105">
                  <c:v>1.05</c:v>
                </c:pt>
                <c:pt idx="106">
                  <c:v>1.05</c:v>
                </c:pt>
                <c:pt idx="107">
                  <c:v>1.05</c:v>
                </c:pt>
                <c:pt idx="108">
                  <c:v>1.05</c:v>
                </c:pt>
                <c:pt idx="109">
                  <c:v>1.05</c:v>
                </c:pt>
                <c:pt idx="110">
                  <c:v>1.05</c:v>
                </c:pt>
                <c:pt idx="111">
                  <c:v>1.05</c:v>
                </c:pt>
                <c:pt idx="112">
                  <c:v>1.05</c:v>
                </c:pt>
                <c:pt idx="113">
                  <c:v>1.05</c:v>
                </c:pt>
                <c:pt idx="114">
                  <c:v>1.05</c:v>
                </c:pt>
                <c:pt idx="115">
                  <c:v>1.05</c:v>
                </c:pt>
                <c:pt idx="116">
                  <c:v>1.05</c:v>
                </c:pt>
                <c:pt idx="117">
                  <c:v>1.05</c:v>
                </c:pt>
                <c:pt idx="118">
                  <c:v>1.05</c:v>
                </c:pt>
                <c:pt idx="119">
                  <c:v>1.05</c:v>
                </c:pt>
                <c:pt idx="120">
                  <c:v>1.05</c:v>
                </c:pt>
                <c:pt idx="121">
                  <c:v>1.05</c:v>
                </c:pt>
                <c:pt idx="122">
                  <c:v>1.05</c:v>
                </c:pt>
                <c:pt idx="123">
                  <c:v>1.05</c:v>
                </c:pt>
                <c:pt idx="124">
                  <c:v>1.05</c:v>
                </c:pt>
                <c:pt idx="125">
                  <c:v>1.05</c:v>
                </c:pt>
                <c:pt idx="126">
                  <c:v>1.05</c:v>
                </c:pt>
                <c:pt idx="127">
                  <c:v>1.05</c:v>
                </c:pt>
                <c:pt idx="128">
                  <c:v>1.05</c:v>
                </c:pt>
                <c:pt idx="129">
                  <c:v>1.05</c:v>
                </c:pt>
                <c:pt idx="130">
                  <c:v>1.05</c:v>
                </c:pt>
                <c:pt idx="131">
                  <c:v>1.05</c:v>
                </c:pt>
                <c:pt idx="132">
                  <c:v>1.05</c:v>
                </c:pt>
                <c:pt idx="133">
                  <c:v>1.05</c:v>
                </c:pt>
                <c:pt idx="134">
                  <c:v>1.05</c:v>
                </c:pt>
                <c:pt idx="135">
                  <c:v>1.05</c:v>
                </c:pt>
                <c:pt idx="136">
                  <c:v>1.05</c:v>
                </c:pt>
                <c:pt idx="137">
                  <c:v>1.05</c:v>
                </c:pt>
                <c:pt idx="138">
                  <c:v>1.05</c:v>
                </c:pt>
                <c:pt idx="139">
                  <c:v>1.05</c:v>
                </c:pt>
                <c:pt idx="140">
                  <c:v>1.05</c:v>
                </c:pt>
                <c:pt idx="141">
                  <c:v>1.05</c:v>
                </c:pt>
                <c:pt idx="142">
                  <c:v>1.05</c:v>
                </c:pt>
                <c:pt idx="143">
                  <c:v>1.05</c:v>
                </c:pt>
                <c:pt idx="144">
                  <c:v>1.05</c:v>
                </c:pt>
                <c:pt idx="145">
                  <c:v>1.05</c:v>
                </c:pt>
                <c:pt idx="146">
                  <c:v>1.05</c:v>
                </c:pt>
                <c:pt idx="147">
                  <c:v>1.05</c:v>
                </c:pt>
                <c:pt idx="148">
                  <c:v>1.05</c:v>
                </c:pt>
                <c:pt idx="149">
                  <c:v>1.05</c:v>
                </c:pt>
                <c:pt idx="150">
                  <c:v>1.05</c:v>
                </c:pt>
                <c:pt idx="151">
                  <c:v>1.05</c:v>
                </c:pt>
                <c:pt idx="152">
                  <c:v>1.05</c:v>
                </c:pt>
                <c:pt idx="153">
                  <c:v>1.05</c:v>
                </c:pt>
                <c:pt idx="154">
                  <c:v>1.05</c:v>
                </c:pt>
                <c:pt idx="155">
                  <c:v>1.05</c:v>
                </c:pt>
                <c:pt idx="156">
                  <c:v>1.05</c:v>
                </c:pt>
                <c:pt idx="157">
                  <c:v>1.05</c:v>
                </c:pt>
                <c:pt idx="158">
                  <c:v>1.05</c:v>
                </c:pt>
                <c:pt idx="159">
                  <c:v>1.05</c:v>
                </c:pt>
                <c:pt idx="160">
                  <c:v>1.05</c:v>
                </c:pt>
                <c:pt idx="161">
                  <c:v>1.05</c:v>
                </c:pt>
                <c:pt idx="162">
                  <c:v>1.05</c:v>
                </c:pt>
                <c:pt idx="163">
                  <c:v>1.05</c:v>
                </c:pt>
                <c:pt idx="164">
                  <c:v>1.05</c:v>
                </c:pt>
                <c:pt idx="165">
                  <c:v>1.05</c:v>
                </c:pt>
                <c:pt idx="166">
                  <c:v>1.05</c:v>
                </c:pt>
                <c:pt idx="167">
                  <c:v>1.05</c:v>
                </c:pt>
                <c:pt idx="168">
                  <c:v>1.05</c:v>
                </c:pt>
                <c:pt idx="169">
                  <c:v>1.05</c:v>
                </c:pt>
                <c:pt idx="170">
                  <c:v>1.05</c:v>
                </c:pt>
                <c:pt idx="171">
                  <c:v>1.05</c:v>
                </c:pt>
                <c:pt idx="172">
                  <c:v>1.05</c:v>
                </c:pt>
                <c:pt idx="173">
                  <c:v>1.05</c:v>
                </c:pt>
                <c:pt idx="174">
                  <c:v>1.05</c:v>
                </c:pt>
                <c:pt idx="175">
                  <c:v>1.05</c:v>
                </c:pt>
                <c:pt idx="176">
                  <c:v>1.05</c:v>
                </c:pt>
                <c:pt idx="177">
                  <c:v>1.05</c:v>
                </c:pt>
                <c:pt idx="178">
                  <c:v>1.05</c:v>
                </c:pt>
                <c:pt idx="179">
                  <c:v>1.05</c:v>
                </c:pt>
                <c:pt idx="180">
                  <c:v>1.05</c:v>
                </c:pt>
                <c:pt idx="181">
                  <c:v>1.05</c:v>
                </c:pt>
                <c:pt idx="182">
                  <c:v>1.05</c:v>
                </c:pt>
                <c:pt idx="183">
                  <c:v>1.05</c:v>
                </c:pt>
                <c:pt idx="184">
                  <c:v>1.05</c:v>
                </c:pt>
                <c:pt idx="185">
                  <c:v>1.05</c:v>
                </c:pt>
                <c:pt idx="186">
                  <c:v>1.05</c:v>
                </c:pt>
                <c:pt idx="187">
                  <c:v>1.05</c:v>
                </c:pt>
                <c:pt idx="188">
                  <c:v>1.05</c:v>
                </c:pt>
                <c:pt idx="189">
                  <c:v>1.05</c:v>
                </c:pt>
                <c:pt idx="190">
                  <c:v>1.05</c:v>
                </c:pt>
                <c:pt idx="191">
                  <c:v>1.05</c:v>
                </c:pt>
                <c:pt idx="192">
                  <c:v>1.05</c:v>
                </c:pt>
                <c:pt idx="193">
                  <c:v>1.05</c:v>
                </c:pt>
                <c:pt idx="194">
                  <c:v>1.05</c:v>
                </c:pt>
                <c:pt idx="195">
                  <c:v>1.05</c:v>
                </c:pt>
                <c:pt idx="196">
                  <c:v>1.05</c:v>
                </c:pt>
                <c:pt idx="197">
                  <c:v>1.05</c:v>
                </c:pt>
                <c:pt idx="198">
                  <c:v>1.05</c:v>
                </c:pt>
                <c:pt idx="199">
                  <c:v>1.05</c:v>
                </c:pt>
              </c:numCache>
            </c:numRef>
          </c:yVal>
          <c:smooth val="0"/>
        </c:ser>
        <c:ser>
          <c:idx val="18"/>
          <c:order val="6"/>
          <c:tx>
            <c:strRef>
              <c:f>协调曲线图!$F$85</c:f>
              <c:strCache>
                <c:ptCount val="1"/>
                <c:pt idx="0">
                  <c:v>--------------------Lco-6kvC1变馈线</c:v>
                </c:pt>
              </c:strCache>
            </c:strRef>
          </c:tx>
          <c:spPr>
            <a:ln w="25400">
              <a:solidFill>
                <a:srgbClr val="0000FF"/>
              </a:solidFill>
              <a:prstDash val="lg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8.7328025296628295E-2"/>
                  <c:y val="-9.1084483014769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曲線Lever計算!$E$9:$E$207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曲線Lever計算!$C$9:$C$207</c:f>
              <c:numCache>
                <c:formatCode>General</c:formatCode>
                <c:ptCount val="199"/>
                <c:pt idx="0">
                  <c:v>1.6883883872132779</c:v>
                </c:pt>
                <c:pt idx="1">
                  <c:v>1.0609311325240072</c:v>
                </c:pt>
                <c:pt idx="2">
                  <c:v>0.83834277906589172</c:v>
                </c:pt>
                <c:pt idx="3">
                  <c:v>0.72049159443524813</c:v>
                </c:pt>
                <c:pt idx="4">
                  <c:v>0.6459919956431831</c:v>
                </c:pt>
                <c:pt idx="5">
                  <c:v>0.5938960321259743</c:v>
                </c:pt>
                <c:pt idx="6">
                  <c:v>0.5550123935657989</c:v>
                </c:pt>
                <c:pt idx="7">
                  <c:v>0.52463804081287146</c:v>
                </c:pt>
                <c:pt idx="8">
                  <c:v>0.50010077848289813</c:v>
                </c:pt>
                <c:pt idx="9">
                  <c:v>0.47976199114821766</c:v>
                </c:pt>
                <c:pt idx="10">
                  <c:v>0.46255673709729694</c:v>
                </c:pt>
                <c:pt idx="11">
                  <c:v>0.44776046779368039</c:v>
                </c:pt>
                <c:pt idx="12">
                  <c:v>0.43486162008147489</c:v>
                </c:pt>
                <c:pt idx="13">
                  <c:v>0.42348778770567669</c:v>
                </c:pt>
                <c:pt idx="14">
                  <c:v>0.41336081241955996</c:v>
                </c:pt>
                <c:pt idx="15">
                  <c:v>0.40426833582364474</c:v>
                </c:pt>
                <c:pt idx="16">
                  <c:v>0.39604514753305758</c:v>
                </c:pt>
                <c:pt idx="17">
                  <c:v>0.38856058911135549</c:v>
                </c:pt>
                <c:pt idx="18">
                  <c:v>0.38170982613586946</c:v>
                </c:pt>
                <c:pt idx="19">
                  <c:v>0.37540766261720548</c:v>
                </c:pt>
                <c:pt idx="20">
                  <c:v>0.36958406891296386</c:v>
                </c:pt>
                <c:pt idx="21">
                  <c:v>0.36418089052129632</c:v>
                </c:pt>
                <c:pt idx="22">
                  <c:v>0.35914938704992261</c:v>
                </c:pt>
                <c:pt idx="23">
                  <c:v>0.35444836533834545</c:v>
                </c:pt>
                <c:pt idx="24">
                  <c:v>0.35004274473779956</c:v>
                </c:pt>
                <c:pt idx="25">
                  <c:v>0.34590244136583898</c:v>
                </c:pt>
                <c:pt idx="26">
                  <c:v>0.34200149096633503</c:v>
                </c:pt>
                <c:pt idx="27">
                  <c:v>0.33831735245591604</c:v>
                </c:pt>
                <c:pt idx="28">
                  <c:v>0.33483034984703719</c:v>
                </c:pt>
                <c:pt idx="29">
                  <c:v>0.3315232212519218</c:v>
                </c:pt>
                <c:pt idx="30">
                  <c:v>0.32838075155013741</c:v>
                </c:pt>
                <c:pt idx="31">
                  <c:v>0.32538947100939619</c:v>
                </c:pt>
                <c:pt idx="32">
                  <c:v>0.32253740633171496</c:v>
                </c:pt>
                <c:pt idx="33">
                  <c:v>0.31981387369580017</c:v>
                </c:pt>
                <c:pt idx="34">
                  <c:v>0.31720930568574274</c:v>
                </c:pt>
                <c:pt idx="35">
                  <c:v>0.31471510574843825</c:v>
                </c:pt>
                <c:pt idx="36">
                  <c:v>0.31232352515787848</c:v>
                </c:pt>
                <c:pt idx="37">
                  <c:v>0.31002755849121899</c:v>
                </c:pt>
                <c:pt idx="38">
                  <c:v>0.30782085441698609</c:v>
                </c:pt>
                <c:pt idx="39">
                  <c:v>0.30569763921654591</c:v>
                </c:pt>
                <c:pt idx="40">
                  <c:v>0.30365265094787663</c:v>
                </c:pt>
                <c:pt idx="41">
                  <c:v>0.30168108254663117</c:v>
                </c:pt>
                <c:pt idx="42">
                  <c:v>0.2997785324667338</c:v>
                </c:pt>
                <c:pt idx="43">
                  <c:v>0.29794096170880485</c:v>
                </c:pt>
                <c:pt idx="44">
                  <c:v>0.29616465628280492</c:v>
                </c:pt>
                <c:pt idx="45">
                  <c:v>0.29444619431172514</c:v>
                </c:pt>
                <c:pt idx="46">
                  <c:v>0.29278241711366182</c:v>
                </c:pt>
                <c:pt idx="47">
                  <c:v>0.29117040370633385</c:v>
                </c:pt>
                <c:pt idx="48">
                  <c:v>0.28960744826579093</c:v>
                </c:pt>
                <c:pt idx="49">
                  <c:v>0.28809104014338682</c:v>
                </c:pt>
                <c:pt idx="50">
                  <c:v>0.28661884610502908</c:v>
                </c:pt>
                <c:pt idx="51">
                  <c:v>0.28518869450660284</c:v>
                </c:pt>
                <c:pt idx="52">
                  <c:v>0.28379856116108432</c:v>
                </c:pt>
                <c:pt idx="53">
                  <c:v>0.28244655668780666</c:v>
                </c:pt>
                <c:pt idx="54">
                  <c:v>0.28113091516368216</c:v>
                </c:pt>
                <c:pt idx="55">
                  <c:v>0.27984998392100169</c:v>
                </c:pt>
                <c:pt idx="56">
                  <c:v>0.27860221435742361</c:v>
                </c:pt>
                <c:pt idx="57">
                  <c:v>0.2773861536416028</c:v>
                </c:pt>
                <c:pt idx="58">
                  <c:v>0.27620043721312521</c:v>
                </c:pt>
                <c:pt idx="59">
                  <c:v>0.27504378198841012</c:v>
                </c:pt>
                <c:pt idx="60">
                  <c:v>0.27391498019537286</c:v>
                </c:pt>
                <c:pt idx="61">
                  <c:v>0.27281289376922896</c:v>
                </c:pt>
                <c:pt idx="62">
                  <c:v>0.27173644925006551</c:v>
                </c:pt>
                <c:pt idx="63">
                  <c:v>0.27068463312993668</c:v>
                </c:pt>
                <c:pt idx="64">
                  <c:v>0.26965648760342303</c:v>
                </c:pt>
                <c:pt idx="65">
                  <c:v>0.26865110668093717</c:v>
                </c:pt>
                <c:pt idx="66">
                  <c:v>0.2676676326287441</c:v>
                </c:pt>
                <c:pt idx="67">
                  <c:v>0.26670525270371792</c:v>
                </c:pt>
                <c:pt idx="68">
                  <c:v>0.26576319615442551</c:v>
                </c:pt>
                <c:pt idx="69">
                  <c:v>0.26484073146322684</c:v>
                </c:pt>
                <c:pt idx="70">
                  <c:v>0.26393716380683058</c:v>
                </c:pt>
                <c:pt idx="71">
                  <c:v>0.26305183271513072</c:v>
                </c:pt>
                <c:pt idx="72">
                  <c:v>0.26218410991029101</c:v>
                </c:pt>
                <c:pt idx="73">
                  <c:v>0.26133339730988286</c:v>
                </c:pt>
                <c:pt idx="74">
                  <c:v>0.26049912517955898</c:v>
                </c:pt>
                <c:pt idx="75">
                  <c:v>0.25968075042220223</c:v>
                </c:pt>
                <c:pt idx="76">
                  <c:v>0.2588777549917835</c:v>
                </c:pt>
                <c:pt idx="77">
                  <c:v>0.25808964442131932</c:v>
                </c:pt>
                <c:pt idx="78">
                  <c:v>0.25731594645535416</c:v>
                </c:pt>
                <c:pt idx="79">
                  <c:v>0.25655620977829713</c:v>
                </c:pt>
                <c:pt idx="80">
                  <c:v>0.25581000283077349</c:v>
                </c:pt>
                <c:pt idx="81">
                  <c:v>0.25507691270686983</c:v>
                </c:pt>
                <c:pt idx="82">
                  <c:v>0.2543565441258217</c:v>
                </c:pt>
                <c:pt idx="83">
                  <c:v>0.25364851847226944</c:v>
                </c:pt>
                <c:pt idx="84">
                  <c:v>0.25295247289974065</c:v>
                </c:pt>
                <c:pt idx="85">
                  <c:v>0.25226805949248787</c:v>
                </c:pt>
                <c:pt idx="86">
                  <c:v>0.25159494448124736</c:v>
                </c:pt>
                <c:pt idx="87">
                  <c:v>0.25093280750885932</c:v>
                </c:pt>
                <c:pt idx="88">
                  <c:v>0.25028134094204191</c:v>
                </c:pt>
                <c:pt idx="89">
                  <c:v>0.24964024922593103</c:v>
                </c:pt>
                <c:pt idx="90">
                  <c:v>0.24900924827827572</c:v>
                </c:pt>
                <c:pt idx="91">
                  <c:v>0.24838806492043319</c:v>
                </c:pt>
                <c:pt idx="92">
                  <c:v>0.2477764363425593</c:v>
                </c:pt>
                <c:pt idx="93">
                  <c:v>0.24717410960058056</c:v>
                </c:pt>
                <c:pt idx="94">
                  <c:v>0.24658084114274118</c:v>
                </c:pt>
                <c:pt idx="95">
                  <c:v>0.24599639636368681</c:v>
                </c:pt>
                <c:pt idx="96">
                  <c:v>0.24542054918421455</c:v>
                </c:pt>
                <c:pt idx="97">
                  <c:v>0.24485308165495609</c:v>
                </c:pt>
                <c:pt idx="98">
                  <c:v>0.24429378358239973</c:v>
                </c:pt>
                <c:pt idx="99">
                  <c:v>0.24374245217577345</c:v>
                </c:pt>
                <c:pt idx="100">
                  <c:v>0.24319889171342876</c:v>
                </c:pt>
                <c:pt idx="101">
                  <c:v>0.24266291322746786</c:v>
                </c:pt>
                <c:pt idx="102">
                  <c:v>0.24213433420543312</c:v>
                </c:pt>
                <c:pt idx="103">
                  <c:v>0.24161297830799039</c:v>
                </c:pt>
                <c:pt idx="104">
                  <c:v>0.24109867510159372</c:v>
                </c:pt>
                <c:pt idx="105">
                  <c:v>0.2405912598052028</c:v>
                </c:pt>
                <c:pt idx="106">
                  <c:v>0.24009057305018294</c:v>
                </c:pt>
                <c:pt idx="107">
                  <c:v>0.23959646065259133</c:v>
                </c:pt>
                <c:pt idx="108">
                  <c:v>0.23910877339709119</c:v>
                </c:pt>
                <c:pt idx="109">
                  <c:v>0.2386273668318048</c:v>
                </c:pt>
                <c:pt idx="110">
                  <c:v>0.23815210107345045</c:v>
                </c:pt>
                <c:pt idx="111">
                  <c:v>0.23768284062216516</c:v>
                </c:pt>
                <c:pt idx="112">
                  <c:v>0.23721945418544074</c:v>
                </c:pt>
                <c:pt idx="113">
                  <c:v>0.23676181451065317</c:v>
                </c:pt>
                <c:pt idx="114">
                  <c:v>0.23630979822569256</c:v>
                </c:pt>
                <c:pt idx="115">
                  <c:v>0.23586328568722814</c:v>
                </c:pt>
                <c:pt idx="116">
                  <c:v>0.23542216083618775</c:v>
                </c:pt>
                <c:pt idx="117">
                  <c:v>0.23498631106004428</c:v>
                </c:pt>
                <c:pt idx="118">
                  <c:v>0.23455562706153044</c:v>
                </c:pt>
                <c:pt idx="119">
                  <c:v>0.23413000273343645</c:v>
                </c:pt>
                <c:pt idx="120">
                  <c:v>0.23370933503915542</c:v>
                </c:pt>
                <c:pt idx="121">
                  <c:v>0.23329352389866451</c:v>
                </c:pt>
                <c:pt idx="122">
                  <c:v>0.23288247207965815</c:v>
                </c:pt>
                <c:pt idx="123">
                  <c:v>0.2324760850935543</c:v>
                </c:pt>
                <c:pt idx="124">
                  <c:v>0.23207427109611758</c:v>
                </c:pt>
                <c:pt idx="125">
                  <c:v>0.2316769407924662</c:v>
                </c:pt>
                <c:pt idx="126">
                  <c:v>0.23128400734622145</c:v>
                </c:pt>
                <c:pt idx="127">
                  <c:v>0.23089538629260475</c:v>
                </c:pt>
                <c:pt idx="128">
                  <c:v>0.23051099545526482</c:v>
                </c:pt>
                <c:pt idx="129">
                  <c:v>0.23013075486665871</c:v>
                </c:pt>
                <c:pt idx="130">
                  <c:v>0.22975458669180085</c:v>
                </c:pt>
                <c:pt idx="131">
                  <c:v>0.22938241515521643</c:v>
                </c:pt>
                <c:pt idx="132">
                  <c:v>0.229014166470941</c:v>
                </c:pt>
                <c:pt idx="133">
                  <c:v>0.22864976877541351</c:v>
                </c:pt>
                <c:pt idx="134">
                  <c:v>0.22828915206312811</c:v>
                </c:pt>
                <c:pt idx="135">
                  <c:v>0.22793224812490362</c:v>
                </c:pt>
                <c:pt idx="136">
                  <c:v>0.22757899048865393</c:v>
                </c:pt>
                <c:pt idx="137">
                  <c:v>0.22722931436253452</c:v>
                </c:pt>
                <c:pt idx="138">
                  <c:v>0.22688315658035299</c:v>
                </c:pt>
                <c:pt idx="139">
                  <c:v>0.22654045554914412</c:v>
                </c:pt>
                <c:pt idx="140">
                  <c:v>0.22620115119879763</c:v>
                </c:pt>
                <c:pt idx="141">
                  <c:v>0.22586518493365493</c:v>
                </c:pt>
                <c:pt idx="142">
                  <c:v>0.22553249958597868</c:v>
                </c:pt>
                <c:pt idx="143">
                  <c:v>0.22520303937120878</c:v>
                </c:pt>
                <c:pt idx="144">
                  <c:v>0.22487674984492986</c:v>
                </c:pt>
                <c:pt idx="145">
                  <c:v>0.22455357786146601</c:v>
                </c:pt>
                <c:pt idx="146">
                  <c:v>0.224233471534038</c:v>
                </c:pt>
                <c:pt idx="147">
                  <c:v>0.22391638019640633</c:v>
                </c:pt>
                <c:pt idx="148">
                  <c:v>0.22360225436593997</c:v>
                </c:pt>
                <c:pt idx="149">
                  <c:v>0.22329104570804764</c:v>
                </c:pt>
                <c:pt idx="150">
                  <c:v>0.22298270700190953</c:v>
                </c:pt>
                <c:pt idx="151">
                  <c:v>0.22267719210745796</c:v>
                </c:pt>
                <c:pt idx="152">
                  <c:v>0.22237445593354946</c:v>
                </c:pt>
                <c:pt idx="153">
                  <c:v>0.22207445440728008</c:v>
                </c:pt>
                <c:pt idx="154">
                  <c:v>0.22177714444439409</c:v>
                </c:pt>
                <c:pt idx="155">
                  <c:v>0.22148248392074416</c:v>
                </c:pt>
                <c:pt idx="156">
                  <c:v>0.22119043164475075</c:v>
                </c:pt>
                <c:pt idx="157">
                  <c:v>0.22090094733082907</c:v>
                </c:pt>
                <c:pt idx="158">
                  <c:v>0.22061399157373726</c:v>
                </c:pt>
                <c:pt idx="159">
                  <c:v>0.22032952582381021</c:v>
                </c:pt>
                <c:pt idx="160">
                  <c:v>0.22004751236304476</c:v>
                </c:pt>
                <c:pt idx="161">
                  <c:v>0.21976791428199777</c:v>
                </c:pt>
                <c:pt idx="162">
                  <c:v>0.2194906954574663</c:v>
                </c:pt>
                <c:pt idx="163">
                  <c:v>0.21921582053092475</c:v>
                </c:pt>
                <c:pt idx="164">
                  <c:v>0.21894325488767452</c:v>
                </c:pt>
                <c:pt idx="165">
                  <c:v>0.21867296463669522</c:v>
                </c:pt>
                <c:pt idx="166">
                  <c:v>0.21840491659115802</c:v>
                </c:pt>
                <c:pt idx="167">
                  <c:v>0.21813907824957726</c:v>
                </c:pt>
                <c:pt idx="168">
                  <c:v>0.21787541777758235</c:v>
                </c:pt>
                <c:pt idx="169">
                  <c:v>0.21761390399027647</c:v>
                </c:pt>
                <c:pt idx="170">
                  <c:v>0.21735450633516837</c:v>
                </c:pt>
                <c:pt idx="171">
                  <c:v>0.21709719487564805</c:v>
                </c:pt>
                <c:pt idx="172">
                  <c:v>0.21684194027499246</c:v>
                </c:pt>
                <c:pt idx="173">
                  <c:v>0.21658871378087455</c:v>
                </c:pt>
                <c:pt idx="174">
                  <c:v>0.21633748721036372</c:v>
                </c:pt>
                <c:pt idx="175">
                  <c:v>0.21608823293539586</c:v>
                </c:pt>
                <c:pt idx="176">
                  <c:v>0.21584092386869191</c:v>
                </c:pt>
                <c:pt idx="177">
                  <c:v>0.21559553345011942</c:v>
                </c:pt>
                <c:pt idx="178">
                  <c:v>0.21535203563346692</c:v>
                </c:pt>
                <c:pt idx="179">
                  <c:v>0.21511040487362787</c:v>
                </c:pt>
                <c:pt idx="180">
                  <c:v>0.21487061611417366</c:v>
                </c:pt>
                <c:pt idx="181">
                  <c:v>0.21463264477530292</c:v>
                </c:pt>
                <c:pt idx="182">
                  <c:v>0.21439646674215102</c:v>
                </c:pt>
                <c:pt idx="183">
                  <c:v>0.21416205835345584</c:v>
                </c:pt>
                <c:pt idx="184">
                  <c:v>0.21392939639055264</c:v>
                </c:pt>
                <c:pt idx="185">
                  <c:v>0.2136984580667029</c:v>
                </c:pt>
                <c:pt idx="186">
                  <c:v>0.21346922101673166</c:v>
                </c:pt>
                <c:pt idx="187">
                  <c:v>0.2132416632869715</c:v>
                </c:pt>
                <c:pt idx="188">
                  <c:v>0.21301576332549757</c:v>
                </c:pt>
                <c:pt idx="189">
                  <c:v>0.21279149997264776</c:v>
                </c:pt>
                <c:pt idx="190">
                  <c:v>0.21256885245181292</c:v>
                </c:pt>
                <c:pt idx="191">
                  <c:v>0.21234780036049578</c:v>
                </c:pt>
                <c:pt idx="192">
                  <c:v>0.21212832366161882</c:v>
                </c:pt>
                <c:pt idx="193">
                  <c:v>0.21191040267508479</c:v>
                </c:pt>
                <c:pt idx="194">
                  <c:v>0.21169401806957142</c:v>
                </c:pt>
                <c:pt idx="195">
                  <c:v>0.2114791508545571</c:v>
                </c:pt>
                <c:pt idx="196">
                  <c:v>0.2112657823725706</c:v>
                </c:pt>
                <c:pt idx="197">
                  <c:v>0.21105389429165555</c:v>
                </c:pt>
                <c:pt idx="198">
                  <c:v>0.21084346859804268</c:v>
                </c:pt>
              </c:numCache>
            </c:numRef>
          </c:yVal>
          <c:smooth val="0"/>
        </c:ser>
        <c:ser>
          <c:idx val="19"/>
          <c:order val="7"/>
          <c:tx>
            <c:strRef>
              <c:f>协调曲线图!$F$86</c:f>
              <c:strCache>
                <c:ptCount val="1"/>
                <c:pt idx="0">
                  <c:v>--------------------Lco-6kvC1变母联</c:v>
                </c:pt>
              </c:strCache>
            </c:strRef>
          </c:tx>
          <c:spPr>
            <a:ln w="25400">
              <a:solidFill>
                <a:srgbClr val="FF00FF"/>
              </a:solidFill>
              <a:prstDash val="lgDash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2.0590743767092003E-2"/>
                  <c:y val="2.3858045720862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曲線Lever計算!$J$9:$J$207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曲線Lever計算!$H$9:$H$207</c:f>
              <c:numCache>
                <c:formatCode>General</c:formatCode>
                <c:ptCount val="199"/>
                <c:pt idx="0">
                  <c:v>2.3637437420985892</c:v>
                </c:pt>
                <c:pt idx="1">
                  <c:v>1.4853035855336101</c:v>
                </c:pt>
                <c:pt idx="2">
                  <c:v>1.1736798906922483</c:v>
                </c:pt>
                <c:pt idx="3">
                  <c:v>1.0086882322093473</c:v>
                </c:pt>
                <c:pt idx="4">
                  <c:v>0.90438879390045634</c:v>
                </c:pt>
                <c:pt idx="5">
                  <c:v>0.831454444976364</c:v>
                </c:pt>
                <c:pt idx="6">
                  <c:v>0.77701735099211844</c:v>
                </c:pt>
                <c:pt idx="7">
                  <c:v>0.73449325713802005</c:v>
                </c:pt>
                <c:pt idx="8">
                  <c:v>0.7001410898760575</c:v>
                </c:pt>
                <c:pt idx="9">
                  <c:v>0.67166678760750476</c:v>
                </c:pt>
                <c:pt idx="10">
                  <c:v>0.64757943193621581</c:v>
                </c:pt>
                <c:pt idx="11">
                  <c:v>0.62686465491115262</c:v>
                </c:pt>
                <c:pt idx="12">
                  <c:v>0.6088062681140648</c:v>
                </c:pt>
                <c:pt idx="13">
                  <c:v>0.59288290278794742</c:v>
                </c:pt>
                <c:pt idx="14">
                  <c:v>0.57870513738738394</c:v>
                </c:pt>
                <c:pt idx="15">
                  <c:v>0.56597567015310268</c:v>
                </c:pt>
                <c:pt idx="16">
                  <c:v>0.55446320654628056</c:v>
                </c:pt>
                <c:pt idx="17">
                  <c:v>0.54398482475589771</c:v>
                </c:pt>
                <c:pt idx="18">
                  <c:v>0.53439375659021726</c:v>
                </c:pt>
                <c:pt idx="19">
                  <c:v>0.52557072766408774</c:v>
                </c:pt>
                <c:pt idx="20">
                  <c:v>0.51741769647814939</c:v>
                </c:pt>
                <c:pt idx="21">
                  <c:v>0.5098532467298148</c:v>
                </c:pt>
                <c:pt idx="22">
                  <c:v>0.50280914186989167</c:v>
                </c:pt>
                <c:pt idx="23">
                  <c:v>0.49622771147368366</c:v>
                </c:pt>
                <c:pt idx="24">
                  <c:v>0.49005984263291941</c:v>
                </c:pt>
                <c:pt idx="25">
                  <c:v>0.48426341791217459</c:v>
                </c:pt>
                <c:pt idx="26">
                  <c:v>0.47880208735286905</c:v>
                </c:pt>
                <c:pt idx="27">
                  <c:v>0.47364429343828246</c:v>
                </c:pt>
                <c:pt idx="28">
                  <c:v>0.46876248978585205</c:v>
                </c:pt>
                <c:pt idx="29">
                  <c:v>0.46413250975269055</c:v>
                </c:pt>
                <c:pt idx="30">
                  <c:v>0.45973305217019239</c:v>
                </c:pt>
                <c:pt idx="31">
                  <c:v>0.45554525941315466</c:v>
                </c:pt>
                <c:pt idx="32">
                  <c:v>0.45155236886440098</c:v>
                </c:pt>
                <c:pt idx="33">
                  <c:v>0.44773942317412019</c:v>
                </c:pt>
                <c:pt idx="34">
                  <c:v>0.44409302796003985</c:v>
                </c:pt>
                <c:pt idx="35">
                  <c:v>0.44060114804781353</c:v>
                </c:pt>
                <c:pt idx="36">
                  <c:v>0.43725293522102987</c:v>
                </c:pt>
                <c:pt idx="37">
                  <c:v>0.43403858188770661</c:v>
                </c:pt>
                <c:pt idx="38">
                  <c:v>0.43094919618378053</c:v>
                </c:pt>
                <c:pt idx="39">
                  <c:v>0.42797669490316426</c:v>
                </c:pt>
                <c:pt idx="40">
                  <c:v>0.42511371132702724</c:v>
                </c:pt>
                <c:pt idx="41">
                  <c:v>0.42235351556528367</c:v>
                </c:pt>
                <c:pt idx="42">
                  <c:v>0.41968994545342736</c:v>
                </c:pt>
                <c:pt idx="43">
                  <c:v>0.41711734639232678</c:v>
                </c:pt>
                <c:pt idx="44">
                  <c:v>0.41463051879592688</c:v>
                </c:pt>
                <c:pt idx="45">
                  <c:v>0.41222467203641522</c:v>
                </c:pt>
                <c:pt idx="46">
                  <c:v>0.40989538395912656</c:v>
                </c:pt>
                <c:pt idx="47">
                  <c:v>0.40763856518886737</c:v>
                </c:pt>
                <c:pt idx="48">
                  <c:v>0.40545042757210731</c:v>
                </c:pt>
                <c:pt idx="49">
                  <c:v>0.40332745620074156</c:v>
                </c:pt>
                <c:pt idx="50">
                  <c:v>0.40126638454704067</c:v>
                </c:pt>
                <c:pt idx="51">
                  <c:v>0.39926417230924399</c:v>
                </c:pt>
                <c:pt idx="52">
                  <c:v>0.39731798562551807</c:v>
                </c:pt>
                <c:pt idx="53">
                  <c:v>0.39542517936292931</c:v>
                </c:pt>
                <c:pt idx="54">
                  <c:v>0.39358328122915498</c:v>
                </c:pt>
                <c:pt idx="55">
                  <c:v>0.39178997748940236</c:v>
                </c:pt>
                <c:pt idx="56">
                  <c:v>0.39004310010039306</c:v>
                </c:pt>
                <c:pt idx="57">
                  <c:v>0.38834061509824397</c:v>
                </c:pt>
                <c:pt idx="58">
                  <c:v>0.38668061209837529</c:v>
                </c:pt>
                <c:pt idx="59">
                  <c:v>0.38506129478377421</c:v>
                </c:pt>
                <c:pt idx="60">
                  <c:v>0.38348097227352201</c:v>
                </c:pt>
                <c:pt idx="61">
                  <c:v>0.38193805127692054</c:v>
                </c:pt>
                <c:pt idx="62">
                  <c:v>0.38043102895009173</c:v>
                </c:pt>
                <c:pt idx="63">
                  <c:v>0.37895848638191137</c:v>
                </c:pt>
                <c:pt idx="64">
                  <c:v>0.37751908264479228</c:v>
                </c:pt>
                <c:pt idx="65">
                  <c:v>0.37611154935331204</c:v>
                </c:pt>
                <c:pt idx="66">
                  <c:v>0.37473468568024176</c:v>
                </c:pt>
                <c:pt idx="67">
                  <c:v>0.37338735378520505</c:v>
                </c:pt>
                <c:pt idx="68">
                  <c:v>0.37206847461619574</c:v>
                </c:pt>
                <c:pt idx="69">
                  <c:v>0.37077702404851753</c:v>
                </c:pt>
                <c:pt idx="70">
                  <c:v>0.36951202932956279</c:v>
                </c:pt>
                <c:pt idx="71">
                  <c:v>0.368272565801183</c:v>
                </c:pt>
                <c:pt idx="72">
                  <c:v>0.36705775387440742</c:v>
                </c:pt>
                <c:pt idx="73">
                  <c:v>0.36586675623383602</c:v>
                </c:pt>
                <c:pt idx="74">
                  <c:v>0.36469877525138256</c:v>
                </c:pt>
                <c:pt idx="75">
                  <c:v>0.36355305059108312</c:v>
                </c:pt>
                <c:pt idx="76">
                  <c:v>0.36242885698849692</c:v>
                </c:pt>
                <c:pt idx="77">
                  <c:v>0.3613255021898471</c:v>
                </c:pt>
                <c:pt idx="78">
                  <c:v>0.36024232503749581</c:v>
                </c:pt>
                <c:pt idx="79">
                  <c:v>0.35917869368961602</c:v>
                </c:pt>
                <c:pt idx="80">
                  <c:v>0.35813400396308287</c:v>
                </c:pt>
                <c:pt idx="81">
                  <c:v>0.35710767778961777</c:v>
                </c:pt>
                <c:pt idx="82">
                  <c:v>0.35609916177615042</c:v>
                </c:pt>
                <c:pt idx="83">
                  <c:v>0.35510792586117723</c:v>
                </c:pt>
                <c:pt idx="84">
                  <c:v>0.35413346205963692</c:v>
                </c:pt>
                <c:pt idx="85">
                  <c:v>0.35317528328948306</c:v>
                </c:pt>
                <c:pt idx="86">
                  <c:v>0.35223292227374636</c:v>
                </c:pt>
                <c:pt idx="87">
                  <c:v>0.35130593051240305</c:v>
                </c:pt>
                <c:pt idx="88">
                  <c:v>0.35039387731885863</c:v>
                </c:pt>
                <c:pt idx="89">
                  <c:v>0.34949634891630343</c:v>
                </c:pt>
                <c:pt idx="90">
                  <c:v>0.34861294758958605</c:v>
                </c:pt>
                <c:pt idx="91">
                  <c:v>0.34774329088860645</c:v>
                </c:pt>
                <c:pt idx="92">
                  <c:v>0.34688701087958301</c:v>
                </c:pt>
                <c:pt idx="93">
                  <c:v>0.34604375344081278</c:v>
                </c:pt>
                <c:pt idx="94">
                  <c:v>0.34521317759983766</c:v>
                </c:pt>
                <c:pt idx="95">
                  <c:v>0.34439495490916155</c:v>
                </c:pt>
                <c:pt idx="96">
                  <c:v>0.34358876885790041</c:v>
                </c:pt>
                <c:pt idx="97">
                  <c:v>0.34279431431693852</c:v>
                </c:pt>
                <c:pt idx="98">
                  <c:v>0.34201129701535959</c:v>
                </c:pt>
                <c:pt idx="99">
                  <c:v>0.34123943304608284</c:v>
                </c:pt>
                <c:pt idx="100">
                  <c:v>0.34047844839880026</c:v>
                </c:pt>
                <c:pt idx="101">
                  <c:v>0.33972807851845499</c:v>
                </c:pt>
                <c:pt idx="102">
                  <c:v>0.33898806788760638</c:v>
                </c:pt>
                <c:pt idx="103">
                  <c:v>0.33825816963118654</c:v>
                </c:pt>
                <c:pt idx="104">
                  <c:v>0.33753814514223124</c:v>
                </c:pt>
                <c:pt idx="105">
                  <c:v>0.3368277637272839</c:v>
                </c:pt>
                <c:pt idx="106">
                  <c:v>0.33612680227025615</c:v>
                </c:pt>
                <c:pt idx="107">
                  <c:v>0.33543504491362786</c:v>
                </c:pt>
                <c:pt idx="108">
                  <c:v>0.33475228275592767</c:v>
                </c:pt>
                <c:pt idx="109">
                  <c:v>0.33407831356452672</c:v>
                </c:pt>
                <c:pt idx="110">
                  <c:v>0.33341294150283063</c:v>
                </c:pt>
                <c:pt idx="111">
                  <c:v>0.33275597687103126</c:v>
                </c:pt>
                <c:pt idx="112">
                  <c:v>0.33210723585961704</c:v>
                </c:pt>
                <c:pt idx="113">
                  <c:v>0.33146654031491446</c:v>
                </c:pt>
                <c:pt idx="114">
                  <c:v>0.33083371751596963</c:v>
                </c:pt>
                <c:pt idx="115">
                  <c:v>0.33020859996211943</c:v>
                </c:pt>
                <c:pt idx="116">
                  <c:v>0.32959102517066285</c:v>
                </c:pt>
                <c:pt idx="117">
                  <c:v>0.32898083548406198</c:v>
                </c:pt>
                <c:pt idx="118">
                  <c:v>0.32837787788614264</c:v>
                </c:pt>
                <c:pt idx="119">
                  <c:v>0.32778200382681105</c:v>
                </c:pt>
                <c:pt idx="120">
                  <c:v>0.3271930690548176</c:v>
                </c:pt>
                <c:pt idx="121">
                  <c:v>0.3266109334581303</c:v>
                </c:pt>
                <c:pt idx="122">
                  <c:v>0.32603546091152141</c:v>
                </c:pt>
                <c:pt idx="123">
                  <c:v>0.32546651913097602</c:v>
                </c:pt>
                <c:pt idx="124">
                  <c:v>0.32490397953456462</c:v>
                </c:pt>
                <c:pt idx="125">
                  <c:v>0.3243477171094527</c:v>
                </c:pt>
                <c:pt idx="126">
                  <c:v>0.32379761028471005</c:v>
                </c:pt>
                <c:pt idx="127">
                  <c:v>0.32325354080964663</c:v>
                </c:pt>
                <c:pt idx="128">
                  <c:v>0.32271539363737073</c:v>
                </c:pt>
                <c:pt idx="129">
                  <c:v>0.32218305681332221</c:v>
                </c:pt>
                <c:pt idx="130">
                  <c:v>0.32165642136852118</c:v>
                </c:pt>
                <c:pt idx="131">
                  <c:v>0.32113538121730301</c:v>
                </c:pt>
                <c:pt idx="132">
                  <c:v>0.32061983305931741</c:v>
                </c:pt>
                <c:pt idx="133">
                  <c:v>0.32010967628557896</c:v>
                </c:pt>
                <c:pt idx="134">
                  <c:v>0.31960481288837933</c:v>
                </c:pt>
                <c:pt idx="135">
                  <c:v>0.31910514737486506</c:v>
                </c:pt>
                <c:pt idx="136">
                  <c:v>0.31861058668411552</c:v>
                </c:pt>
                <c:pt idx="137">
                  <c:v>0.31812104010754833</c:v>
                </c:pt>
                <c:pt idx="138">
                  <c:v>0.31763641921249419</c:v>
                </c:pt>
                <c:pt idx="139">
                  <c:v>0.31715663776880176</c:v>
                </c:pt>
                <c:pt idx="140">
                  <c:v>0.31668161167831671</c:v>
                </c:pt>
                <c:pt idx="141">
                  <c:v>0.31621125890711693</c:v>
                </c:pt>
                <c:pt idx="142">
                  <c:v>0.31574549942037017</c:v>
                </c:pt>
                <c:pt idx="143">
                  <c:v>0.31528425511969232</c:v>
                </c:pt>
                <c:pt idx="144">
                  <c:v>0.31482744978290184</c:v>
                </c:pt>
                <c:pt idx="145">
                  <c:v>0.31437500900605242</c:v>
                </c:pt>
                <c:pt idx="146">
                  <c:v>0.3139268601476532</c:v>
                </c:pt>
                <c:pt idx="147">
                  <c:v>0.31348293227496887</c:v>
                </c:pt>
                <c:pt idx="148">
                  <c:v>0.31304315611231598</c:v>
                </c:pt>
                <c:pt idx="149">
                  <c:v>0.31260746399126671</c:v>
                </c:pt>
                <c:pt idx="150">
                  <c:v>0.31217578980267335</c:v>
                </c:pt>
                <c:pt idx="151">
                  <c:v>0.31174806895044116</c:v>
                </c:pt>
                <c:pt idx="152">
                  <c:v>0.31132423830696926</c:v>
                </c:pt>
                <c:pt idx="153">
                  <c:v>0.31090423617019208</c:v>
                </c:pt>
                <c:pt idx="154">
                  <c:v>0.31048800222215173</c:v>
                </c:pt>
                <c:pt idx="155">
                  <c:v>0.31007547748904185</c:v>
                </c:pt>
                <c:pt idx="156">
                  <c:v>0.30966660430265103</c:v>
                </c:pt>
                <c:pt idx="157">
                  <c:v>0.30926132626316072</c:v>
                </c:pt>
                <c:pt idx="158">
                  <c:v>0.30885958820323217</c:v>
                </c:pt>
                <c:pt idx="159">
                  <c:v>0.30846133615333426</c:v>
                </c:pt>
                <c:pt idx="160">
                  <c:v>0.30806651730826268</c:v>
                </c:pt>
                <c:pt idx="161">
                  <c:v>0.30767507999479687</c:v>
                </c:pt>
                <c:pt idx="162">
                  <c:v>0.30728697364045282</c:v>
                </c:pt>
                <c:pt idx="163">
                  <c:v>0.30690214874329469</c:v>
                </c:pt>
                <c:pt idx="164">
                  <c:v>0.30652055684274437</c:v>
                </c:pt>
                <c:pt idx="165">
                  <c:v>0.30614215049137333</c:v>
                </c:pt>
                <c:pt idx="166">
                  <c:v>0.30576688322762124</c:v>
                </c:pt>
                <c:pt idx="167">
                  <c:v>0.30539470954940817</c:v>
                </c:pt>
                <c:pt idx="168">
                  <c:v>0.30502558488861531</c:v>
                </c:pt>
                <c:pt idx="169">
                  <c:v>0.30465946558638707</c:v>
                </c:pt>
                <c:pt idx="170">
                  <c:v>0.3042963088692357</c:v>
                </c:pt>
                <c:pt idx="171">
                  <c:v>0.30393607282590729</c:v>
                </c:pt>
                <c:pt idx="172">
                  <c:v>0.30357871638498946</c:v>
                </c:pt>
                <c:pt idx="173">
                  <c:v>0.30322419929322436</c:v>
                </c:pt>
                <c:pt idx="174">
                  <c:v>0.30287248209450923</c:v>
                </c:pt>
                <c:pt idx="175">
                  <c:v>0.30252352610955419</c:v>
                </c:pt>
                <c:pt idx="176">
                  <c:v>0.30217729341616867</c:v>
                </c:pt>
                <c:pt idx="177">
                  <c:v>0.30183374683016717</c:v>
                </c:pt>
                <c:pt idx="178">
                  <c:v>0.30149284988685365</c:v>
                </c:pt>
                <c:pt idx="179">
                  <c:v>0.30115456682307901</c:v>
                </c:pt>
                <c:pt idx="180">
                  <c:v>0.30081886255984314</c:v>
                </c:pt>
                <c:pt idx="181">
                  <c:v>0.30048570268542407</c:v>
                </c:pt>
                <c:pt idx="182">
                  <c:v>0.30015505343901144</c:v>
                </c:pt>
                <c:pt idx="183">
                  <c:v>0.29982688169483818</c:v>
                </c:pt>
                <c:pt idx="184">
                  <c:v>0.29950115494677371</c:v>
                </c:pt>
                <c:pt idx="185">
                  <c:v>0.29917784129338409</c:v>
                </c:pt>
                <c:pt idx="186">
                  <c:v>0.29885690942342436</c:v>
                </c:pt>
                <c:pt idx="187">
                  <c:v>0.29853832860176011</c:v>
                </c:pt>
                <c:pt idx="188">
                  <c:v>0.29822206865569661</c:v>
                </c:pt>
                <c:pt idx="189">
                  <c:v>0.29790809996170686</c:v>
                </c:pt>
                <c:pt idx="190">
                  <c:v>0.29759639343253813</c:v>
                </c:pt>
                <c:pt idx="191">
                  <c:v>0.29728692050469413</c:v>
                </c:pt>
                <c:pt idx="192">
                  <c:v>0.29697965312626634</c:v>
                </c:pt>
                <c:pt idx="193">
                  <c:v>0.29667456374511875</c:v>
                </c:pt>
                <c:pt idx="194">
                  <c:v>0.29637162529740002</c:v>
                </c:pt>
                <c:pt idx="195">
                  <c:v>0.2960708111963799</c:v>
                </c:pt>
                <c:pt idx="196">
                  <c:v>0.29577209532159882</c:v>
                </c:pt>
                <c:pt idx="197">
                  <c:v>0.29547545200831776</c:v>
                </c:pt>
                <c:pt idx="198">
                  <c:v>0.29518085603725974</c:v>
                </c:pt>
              </c:numCache>
            </c:numRef>
          </c:yVal>
          <c:smooth val="0"/>
        </c:ser>
        <c:ser>
          <c:idx val="20"/>
          <c:order val="8"/>
          <c:tx>
            <c:strRef>
              <c:f>协调曲线图!$F$87</c:f>
              <c:strCache>
                <c:ptCount val="1"/>
                <c:pt idx="0">
                  <c:v>--------------------Lco-6kvC1变进线</c:v>
                </c:pt>
              </c:strCache>
            </c:strRef>
          </c:tx>
          <c:spPr>
            <a:ln w="25400">
              <a:solidFill>
                <a:srgbClr val="FF66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4.1963661774982515E-2"/>
                  <c:y val="3.47016805072430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66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曲線Lever計算!$O$9:$O$207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曲線Lever計算!$M$9:$M$207</c:f>
              <c:numCache>
                <c:formatCode>General</c:formatCode>
                <c:ptCount val="199"/>
                <c:pt idx="0">
                  <c:v>3.0390990969839007</c:v>
                </c:pt>
                <c:pt idx="1">
                  <c:v>1.9096760385432132</c:v>
                </c:pt>
                <c:pt idx="2">
                  <c:v>1.5090170023186054</c:v>
                </c:pt>
                <c:pt idx="3">
                  <c:v>1.2968848699834468</c:v>
                </c:pt>
                <c:pt idx="4">
                  <c:v>1.1627855921577297</c:v>
                </c:pt>
                <c:pt idx="5">
                  <c:v>1.0690128578267539</c:v>
                </c:pt>
                <c:pt idx="6">
                  <c:v>0.99902230841843809</c:v>
                </c:pt>
                <c:pt idx="7">
                  <c:v>0.94434847346316864</c:v>
                </c:pt>
                <c:pt idx="8">
                  <c:v>0.90018140126921686</c:v>
                </c:pt>
                <c:pt idx="9">
                  <c:v>0.86357158406679191</c:v>
                </c:pt>
                <c:pt idx="10">
                  <c:v>0.83260212677513468</c:v>
                </c:pt>
                <c:pt idx="11">
                  <c:v>0.80596884202862484</c:v>
                </c:pt>
                <c:pt idx="12">
                  <c:v>0.78275091614665482</c:v>
                </c:pt>
                <c:pt idx="13">
                  <c:v>0.76227801787021809</c:v>
                </c:pt>
                <c:pt idx="14">
                  <c:v>0.74404946235520808</c:v>
                </c:pt>
                <c:pt idx="15">
                  <c:v>0.72768300448256062</c:v>
                </c:pt>
                <c:pt idx="16">
                  <c:v>0.71288126555950371</c:v>
                </c:pt>
                <c:pt idx="17">
                  <c:v>0.69940906040044004</c:v>
                </c:pt>
                <c:pt idx="18">
                  <c:v>0.68707768704456507</c:v>
                </c:pt>
                <c:pt idx="19">
                  <c:v>0.67573379271097</c:v>
                </c:pt>
                <c:pt idx="20">
                  <c:v>0.66525132404333509</c:v>
                </c:pt>
                <c:pt idx="21">
                  <c:v>0.65552560293833351</c:v>
                </c:pt>
                <c:pt idx="22">
                  <c:v>0.64646889668986085</c:v>
                </c:pt>
                <c:pt idx="23">
                  <c:v>0.63800705760902188</c:v>
                </c:pt>
                <c:pt idx="24">
                  <c:v>0.63007694052803931</c:v>
                </c:pt>
                <c:pt idx="25">
                  <c:v>0.62262439445851026</c:v>
                </c:pt>
                <c:pt idx="26">
                  <c:v>0.61560268373940319</c:v>
                </c:pt>
                <c:pt idx="27">
                  <c:v>0.60897123442064893</c:v>
                </c:pt>
                <c:pt idx="28">
                  <c:v>0.60269462972466703</c:v>
                </c:pt>
                <c:pt idx="29">
                  <c:v>0.5967417982534593</c:v>
                </c:pt>
                <c:pt idx="30">
                  <c:v>0.59108535279024743</c:v>
                </c:pt>
                <c:pt idx="31">
                  <c:v>0.58570104781691323</c:v>
                </c:pt>
                <c:pt idx="32">
                  <c:v>0.58056733139708705</c:v>
                </c:pt>
                <c:pt idx="33">
                  <c:v>0.57566497265244032</c:v>
                </c:pt>
                <c:pt idx="34">
                  <c:v>0.57097675023433703</c:v>
                </c:pt>
                <c:pt idx="35">
                  <c:v>0.56648719034718886</c:v>
                </c:pt>
                <c:pt idx="36">
                  <c:v>0.56218234528418132</c:v>
                </c:pt>
                <c:pt idx="37">
                  <c:v>0.55804960528419434</c:v>
                </c:pt>
                <c:pt idx="38">
                  <c:v>0.55407753795057502</c:v>
                </c:pt>
                <c:pt idx="39">
                  <c:v>0.55025575058978271</c:v>
                </c:pt>
                <c:pt idx="40">
                  <c:v>0.54657477170617796</c:v>
                </c:pt>
                <c:pt idx="41">
                  <c:v>0.54302594858393616</c:v>
                </c:pt>
                <c:pt idx="42">
                  <c:v>0.53960135844012092</c:v>
                </c:pt>
                <c:pt idx="43">
                  <c:v>0.53629373107584877</c:v>
                </c:pt>
                <c:pt idx="44">
                  <c:v>0.53309638130904891</c:v>
                </c:pt>
                <c:pt idx="45">
                  <c:v>0.5300031497611053</c:v>
                </c:pt>
                <c:pt idx="46">
                  <c:v>0.52700835080459141</c:v>
                </c:pt>
                <c:pt idx="47">
                  <c:v>0.52410672667140101</c:v>
                </c:pt>
                <c:pt idx="48">
                  <c:v>0.52129340687842374</c:v>
                </c:pt>
                <c:pt idx="49">
                  <c:v>0.51856387225809641</c:v>
                </c:pt>
                <c:pt idx="50">
                  <c:v>0.51591392298905236</c:v>
                </c:pt>
                <c:pt idx="51">
                  <c:v>0.5133396501118852</c:v>
                </c:pt>
                <c:pt idx="52">
                  <c:v>0.51083741008995187</c:v>
                </c:pt>
                <c:pt idx="53">
                  <c:v>0.50840380203805202</c:v>
                </c:pt>
                <c:pt idx="54">
                  <c:v>0.50603564729462791</c:v>
                </c:pt>
                <c:pt idx="55">
                  <c:v>0.50372997105780315</c:v>
                </c:pt>
                <c:pt idx="56">
                  <c:v>0.50148398584336262</c:v>
                </c:pt>
                <c:pt idx="57">
                  <c:v>0.49929507655488514</c:v>
                </c:pt>
                <c:pt idx="58">
                  <c:v>0.49716078698362542</c:v>
                </c:pt>
                <c:pt idx="59">
                  <c:v>0.4950788075791383</c:v>
                </c:pt>
                <c:pt idx="60">
                  <c:v>0.49304696435167122</c:v>
                </c:pt>
                <c:pt idx="61">
                  <c:v>0.49106320878461218</c:v>
                </c:pt>
                <c:pt idx="62">
                  <c:v>0.489125608650118</c:v>
                </c:pt>
                <c:pt idx="63">
                  <c:v>0.48723233963388607</c:v>
                </c:pt>
                <c:pt idx="64">
                  <c:v>0.48538167768616158</c:v>
                </c:pt>
                <c:pt idx="65">
                  <c:v>0.48357199202568696</c:v>
                </c:pt>
                <c:pt idx="66">
                  <c:v>0.48180173873173943</c:v>
                </c:pt>
                <c:pt idx="67">
                  <c:v>0.48006945486669228</c:v>
                </c:pt>
                <c:pt idx="68">
                  <c:v>0.47837375307796604</c:v>
                </c:pt>
                <c:pt idx="69">
                  <c:v>0.47671331663380834</c:v>
                </c:pt>
                <c:pt idx="70">
                  <c:v>0.47508689485229511</c:v>
                </c:pt>
                <c:pt idx="71">
                  <c:v>0.47349329888723535</c:v>
                </c:pt>
                <c:pt idx="72">
                  <c:v>0.47193139783852389</c:v>
                </c:pt>
                <c:pt idx="73">
                  <c:v>0.47040011515778923</c:v>
                </c:pt>
                <c:pt idx="74">
                  <c:v>0.46889842532320619</c:v>
                </c:pt>
                <c:pt idx="75">
                  <c:v>0.46742535075996411</c:v>
                </c:pt>
                <c:pt idx="76">
                  <c:v>0.46597995898521039</c:v>
                </c:pt>
                <c:pt idx="77">
                  <c:v>0.46456135995837489</c:v>
                </c:pt>
                <c:pt idx="78">
                  <c:v>0.46316870361963752</c:v>
                </c:pt>
                <c:pt idx="79">
                  <c:v>0.46180117760093492</c:v>
                </c:pt>
                <c:pt idx="80">
                  <c:v>0.46045800509539231</c:v>
                </c:pt>
                <c:pt idx="81">
                  <c:v>0.45913844287236572</c:v>
                </c:pt>
                <c:pt idx="82">
                  <c:v>0.45784177942647919</c:v>
                </c:pt>
                <c:pt idx="83">
                  <c:v>0.45656733325008503</c:v>
                </c:pt>
                <c:pt idx="84">
                  <c:v>0.45531445121953318</c:v>
                </c:pt>
                <c:pt idx="85">
                  <c:v>0.45408250708647824</c:v>
                </c:pt>
                <c:pt idx="86">
                  <c:v>0.45287090006624536</c:v>
                </c:pt>
                <c:pt idx="87">
                  <c:v>0.45167905351594684</c:v>
                </c:pt>
                <c:pt idx="88">
                  <c:v>0.45050641369567546</c:v>
                </c:pt>
                <c:pt idx="89">
                  <c:v>0.44935244860667589</c:v>
                </c:pt>
                <c:pt idx="90">
                  <c:v>0.44821664690089635</c:v>
                </c:pt>
                <c:pt idx="91">
                  <c:v>0.44709851685677982</c:v>
                </c:pt>
                <c:pt idx="92">
                  <c:v>0.44599758541660678</c:v>
                </c:pt>
                <c:pt idx="93">
                  <c:v>0.44491339728104506</c:v>
                </c:pt>
                <c:pt idx="94">
                  <c:v>0.44384551405693418</c:v>
                </c:pt>
                <c:pt idx="95">
                  <c:v>0.4427935134546363</c:v>
                </c:pt>
                <c:pt idx="96">
                  <c:v>0.44175698853158624</c:v>
                </c:pt>
                <c:pt idx="97">
                  <c:v>0.44073554697892098</c:v>
                </c:pt>
                <c:pt idx="98">
                  <c:v>0.43972881044831957</c:v>
                </c:pt>
                <c:pt idx="99">
                  <c:v>0.43873641391639223</c:v>
                </c:pt>
                <c:pt idx="100">
                  <c:v>0.43775800508417184</c:v>
                </c:pt>
                <c:pt idx="101">
                  <c:v>0.43679324380944218</c:v>
                </c:pt>
                <c:pt idx="102">
                  <c:v>0.4358418015697797</c:v>
                </c:pt>
                <c:pt idx="103">
                  <c:v>0.43490336095438276</c:v>
                </c:pt>
                <c:pt idx="104">
                  <c:v>0.43397761518286876</c:v>
                </c:pt>
                <c:pt idx="105">
                  <c:v>0.43306426764936506</c:v>
                </c:pt>
                <c:pt idx="106">
                  <c:v>0.43216303149032936</c:v>
                </c:pt>
                <c:pt idx="107">
                  <c:v>0.43127362917466444</c:v>
                </c:pt>
                <c:pt idx="108">
                  <c:v>0.4303957921147642</c:v>
                </c:pt>
                <c:pt idx="109">
                  <c:v>0.42952926029724869</c:v>
                </c:pt>
                <c:pt idx="110">
                  <c:v>0.42867378193221084</c:v>
                </c:pt>
                <c:pt idx="111">
                  <c:v>0.42782911311989735</c:v>
                </c:pt>
                <c:pt idx="112">
                  <c:v>0.42699501753379338</c:v>
                </c:pt>
                <c:pt idx="113">
                  <c:v>0.42617126611917577</c:v>
                </c:pt>
                <c:pt idx="114">
                  <c:v>0.42535763680624666</c:v>
                </c:pt>
                <c:pt idx="115">
                  <c:v>0.42455391423701072</c:v>
                </c:pt>
                <c:pt idx="116">
                  <c:v>0.42375988950513804</c:v>
                </c:pt>
                <c:pt idx="117">
                  <c:v>0.42297535990807977</c:v>
                </c:pt>
                <c:pt idx="118">
                  <c:v>0.42220012871075485</c:v>
                </c:pt>
                <c:pt idx="119">
                  <c:v>0.42143400492018568</c:v>
                </c:pt>
                <c:pt idx="120">
                  <c:v>0.42067680307047978</c:v>
                </c:pt>
                <c:pt idx="121">
                  <c:v>0.41992834301759613</c:v>
                </c:pt>
                <c:pt idx="122">
                  <c:v>0.41918844974338476</c:v>
                </c:pt>
                <c:pt idx="123">
                  <c:v>0.41845695316839782</c:v>
                </c:pt>
                <c:pt idx="124">
                  <c:v>0.41773368797301169</c:v>
                </c:pt>
                <c:pt idx="125">
                  <c:v>0.41701849342643921</c:v>
                </c:pt>
                <c:pt idx="126">
                  <c:v>0.4163112132231987</c:v>
                </c:pt>
                <c:pt idx="127">
                  <c:v>0.41561169532668862</c:v>
                </c:pt>
                <c:pt idx="128">
                  <c:v>0.41491979181947675</c:v>
                </c:pt>
                <c:pt idx="129">
                  <c:v>0.41423535875998574</c:v>
                </c:pt>
                <c:pt idx="130">
                  <c:v>0.4135582560452416</c:v>
                </c:pt>
                <c:pt idx="131">
                  <c:v>0.41288834727938967</c:v>
                </c:pt>
                <c:pt idx="132">
                  <c:v>0.41222549964769389</c:v>
                </c:pt>
                <c:pt idx="133">
                  <c:v>0.41156958379574438</c:v>
                </c:pt>
                <c:pt idx="134">
                  <c:v>0.41092047371363061</c:v>
                </c:pt>
                <c:pt idx="135">
                  <c:v>0.41027804662482659</c:v>
                </c:pt>
                <c:pt idx="136">
                  <c:v>0.4096421828795771</c:v>
                </c:pt>
                <c:pt idx="137">
                  <c:v>0.40901276585256219</c:v>
                </c:pt>
                <c:pt idx="138">
                  <c:v>0.40838968184463542</c:v>
                </c:pt>
                <c:pt idx="139">
                  <c:v>0.40777281998845949</c:v>
                </c:pt>
                <c:pt idx="140">
                  <c:v>0.40716207215783579</c:v>
                </c:pt>
                <c:pt idx="141">
                  <c:v>0.40655733288057894</c:v>
                </c:pt>
                <c:pt idx="142">
                  <c:v>0.40595849925476163</c:v>
                </c:pt>
                <c:pt idx="143">
                  <c:v>0.40536547086817587</c:v>
                </c:pt>
                <c:pt idx="144">
                  <c:v>0.40477814972087378</c:v>
                </c:pt>
                <c:pt idx="145">
                  <c:v>0.40419644015063888</c:v>
                </c:pt>
                <c:pt idx="146">
                  <c:v>0.40362024876126845</c:v>
                </c:pt>
                <c:pt idx="147">
                  <c:v>0.4030494843535315</c:v>
                </c:pt>
                <c:pt idx="148">
                  <c:v>0.40248405785869196</c:v>
                </c:pt>
                <c:pt idx="149">
                  <c:v>0.40192388227448578</c:v>
                </c:pt>
                <c:pt idx="150">
                  <c:v>0.40136887260343718</c:v>
                </c:pt>
                <c:pt idx="151">
                  <c:v>0.40081894579342436</c:v>
                </c:pt>
                <c:pt idx="152">
                  <c:v>0.40027402068038903</c:v>
                </c:pt>
                <c:pt idx="153">
                  <c:v>0.3997340179331042</c:v>
                </c:pt>
                <c:pt idx="154">
                  <c:v>0.39919885999990939</c:v>
                </c:pt>
                <c:pt idx="155">
                  <c:v>0.39866847105733955</c:v>
                </c:pt>
                <c:pt idx="156">
                  <c:v>0.39814277696055139</c:v>
                </c:pt>
                <c:pt idx="157">
                  <c:v>0.39762170519549239</c:v>
                </c:pt>
                <c:pt idx="158">
                  <c:v>0.39710518483272711</c:v>
                </c:pt>
                <c:pt idx="159">
                  <c:v>0.39659314648285843</c:v>
                </c:pt>
                <c:pt idx="160">
                  <c:v>0.39608552225348065</c:v>
                </c:pt>
                <c:pt idx="161">
                  <c:v>0.39558224570759604</c:v>
                </c:pt>
                <c:pt idx="162">
                  <c:v>0.3950832518234394</c:v>
                </c:pt>
                <c:pt idx="163">
                  <c:v>0.39458847695566462</c:v>
                </c:pt>
                <c:pt idx="164">
                  <c:v>0.39409785879781423</c:v>
                </c:pt>
                <c:pt idx="165">
                  <c:v>0.39361133634605144</c:v>
                </c:pt>
                <c:pt idx="166">
                  <c:v>0.39312884986408447</c:v>
                </c:pt>
                <c:pt idx="167">
                  <c:v>0.39265034084923911</c:v>
                </c:pt>
                <c:pt idx="168">
                  <c:v>0.39217575199964827</c:v>
                </c:pt>
                <c:pt idx="169">
                  <c:v>0.39170502718249772</c:v>
                </c:pt>
                <c:pt idx="170">
                  <c:v>0.39123811140330311</c:v>
                </c:pt>
                <c:pt idx="171">
                  <c:v>0.39077495077616653</c:v>
                </c:pt>
                <c:pt idx="172">
                  <c:v>0.39031549249498648</c:v>
                </c:pt>
                <c:pt idx="173">
                  <c:v>0.3898596848055742</c:v>
                </c:pt>
                <c:pt idx="174">
                  <c:v>0.38940747697865474</c:v>
                </c:pt>
                <c:pt idx="175">
                  <c:v>0.38895881928371256</c:v>
                </c:pt>
                <c:pt idx="176">
                  <c:v>0.38851366296364548</c:v>
                </c:pt>
                <c:pt idx="177">
                  <c:v>0.38807196021021501</c:v>
                </c:pt>
                <c:pt idx="178">
                  <c:v>0.38763366414024047</c:v>
                </c:pt>
                <c:pt idx="179">
                  <c:v>0.3871987287725302</c:v>
                </c:pt>
                <c:pt idx="180">
                  <c:v>0.38676710900551264</c:v>
                </c:pt>
                <c:pt idx="181">
                  <c:v>0.38633876059554528</c:v>
                </c:pt>
                <c:pt idx="182">
                  <c:v>0.38591364013587187</c:v>
                </c:pt>
                <c:pt idx="183">
                  <c:v>0.38549170503622054</c:v>
                </c:pt>
                <c:pt idx="184">
                  <c:v>0.38507291350299477</c:v>
                </c:pt>
                <c:pt idx="185">
                  <c:v>0.38465722452006529</c:v>
                </c:pt>
                <c:pt idx="186">
                  <c:v>0.38424459783011705</c:v>
                </c:pt>
                <c:pt idx="187">
                  <c:v>0.38383499391654874</c:v>
                </c:pt>
                <c:pt idx="188">
                  <c:v>0.38342837398589569</c:v>
                </c:pt>
                <c:pt idx="189">
                  <c:v>0.38302469995076599</c:v>
                </c:pt>
                <c:pt idx="190">
                  <c:v>0.38262393441326331</c:v>
                </c:pt>
                <c:pt idx="191">
                  <c:v>0.38222604064889248</c:v>
                </c:pt>
                <c:pt idx="192">
                  <c:v>0.38183098259091391</c:v>
                </c:pt>
                <c:pt idx="193">
                  <c:v>0.38143872481515267</c:v>
                </c:pt>
                <c:pt idx="194">
                  <c:v>0.3810492325252286</c:v>
                </c:pt>
                <c:pt idx="195">
                  <c:v>0.38066247153820282</c:v>
                </c:pt>
                <c:pt idx="196">
                  <c:v>0.38027840827062709</c:v>
                </c:pt>
                <c:pt idx="197">
                  <c:v>0.37989700972498003</c:v>
                </c:pt>
                <c:pt idx="198">
                  <c:v>0.37951824347647689</c:v>
                </c:pt>
              </c:numCache>
            </c:numRef>
          </c:yVal>
          <c:smooth val="0"/>
        </c:ser>
        <c:ser>
          <c:idx val="21"/>
          <c:order val="9"/>
          <c:tx>
            <c:strRef>
              <c:f>协调曲线图!$F$88</c:f>
              <c:strCache>
                <c:ptCount val="1"/>
                <c:pt idx="0">
                  <c:v>--------------------Lco-20Kv馈线</c:v>
                </c:pt>
              </c:strCache>
            </c:strRef>
          </c:tx>
          <c:spPr>
            <a:ln w="25400">
              <a:solidFill>
                <a:srgbClr val="000000"/>
              </a:solidFill>
              <a:prstDash val="lg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0.13163307416761583"/>
                  <c:y val="7.37387657382124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曲線Lever計算!$T$9:$T$207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曲線Lever計算!$R$9:$R$207</c:f>
              <c:numCache>
                <c:formatCode>General</c:formatCode>
                <c:ptCount val="199"/>
                <c:pt idx="0">
                  <c:v>3.7144544518692117</c:v>
                </c:pt>
                <c:pt idx="1">
                  <c:v>2.3340484915528159</c:v>
                </c:pt>
                <c:pt idx="2">
                  <c:v>1.8443541139449617</c:v>
                </c:pt>
                <c:pt idx="3">
                  <c:v>1.585081507757546</c:v>
                </c:pt>
                <c:pt idx="4">
                  <c:v>1.4211823904150027</c:v>
                </c:pt>
                <c:pt idx="5">
                  <c:v>1.3065712706771435</c:v>
                </c:pt>
                <c:pt idx="6">
                  <c:v>1.2210272658447576</c:v>
                </c:pt>
                <c:pt idx="7">
                  <c:v>1.1542036897883172</c:v>
                </c:pt>
                <c:pt idx="8">
                  <c:v>1.1002217126623761</c:v>
                </c:pt>
                <c:pt idx="9">
                  <c:v>1.0554763805260789</c:v>
                </c:pt>
                <c:pt idx="10">
                  <c:v>1.0176248216140533</c:v>
                </c:pt>
                <c:pt idx="11">
                  <c:v>0.98507302914609696</c:v>
                </c:pt>
                <c:pt idx="12">
                  <c:v>0.95669556417924473</c:v>
                </c:pt>
                <c:pt idx="13">
                  <c:v>0.93167313295248877</c:v>
                </c:pt>
                <c:pt idx="14">
                  <c:v>0.909393787323032</c:v>
                </c:pt>
                <c:pt idx="15">
                  <c:v>0.88939033881201845</c:v>
                </c:pt>
                <c:pt idx="16">
                  <c:v>0.87129932457272674</c:v>
                </c:pt>
                <c:pt idx="17">
                  <c:v>0.85483329604498215</c:v>
                </c:pt>
                <c:pt idx="18">
                  <c:v>0.83976161749891276</c:v>
                </c:pt>
                <c:pt idx="19">
                  <c:v>0.82589685775785215</c:v>
                </c:pt>
                <c:pt idx="20">
                  <c:v>0.81308495160852057</c:v>
                </c:pt>
                <c:pt idx="21">
                  <c:v>0.80119795914685188</c:v>
                </c:pt>
                <c:pt idx="22">
                  <c:v>0.7901286515098298</c:v>
                </c:pt>
                <c:pt idx="23">
                  <c:v>0.77978640374436003</c:v>
                </c:pt>
                <c:pt idx="24">
                  <c:v>0.77009403842315916</c:v>
                </c:pt>
                <c:pt idx="25">
                  <c:v>0.76098537100484576</c:v>
                </c:pt>
                <c:pt idx="26">
                  <c:v>0.75240328012593716</c:v>
                </c:pt>
                <c:pt idx="27">
                  <c:v>0.74429817540301535</c:v>
                </c:pt>
                <c:pt idx="28">
                  <c:v>0.73662676966348184</c:v>
                </c:pt>
                <c:pt idx="29">
                  <c:v>0.729351086754228</c:v>
                </c:pt>
                <c:pt idx="30">
                  <c:v>0.72243765341030231</c:v>
                </c:pt>
                <c:pt idx="31">
                  <c:v>0.71585683622067164</c:v>
                </c:pt>
                <c:pt idx="32">
                  <c:v>0.7095822939297729</c:v>
                </c:pt>
                <c:pt idx="33">
                  <c:v>0.70359052213076034</c:v>
                </c:pt>
                <c:pt idx="34">
                  <c:v>0.69786047250863414</c:v>
                </c:pt>
                <c:pt idx="35">
                  <c:v>0.69237323264656414</c:v>
                </c:pt>
                <c:pt idx="36">
                  <c:v>0.6871117553473326</c:v>
                </c:pt>
                <c:pt idx="37">
                  <c:v>0.68206062868068185</c:v>
                </c:pt>
                <c:pt idx="38">
                  <c:v>0.67720587971736945</c:v>
                </c:pt>
                <c:pt idx="39">
                  <c:v>0.67253480627640105</c:v>
                </c:pt>
                <c:pt idx="40">
                  <c:v>0.66803583208532857</c:v>
                </c:pt>
                <c:pt idx="41">
                  <c:v>0.66369838160258865</c:v>
                </c:pt>
                <c:pt idx="42">
                  <c:v>0.65951277142681441</c:v>
                </c:pt>
                <c:pt idx="43">
                  <c:v>0.65547011575937064</c:v>
                </c:pt>
                <c:pt idx="44">
                  <c:v>0.65156224382217087</c:v>
                </c:pt>
                <c:pt idx="45">
                  <c:v>0.64778162748579537</c:v>
                </c:pt>
                <c:pt idx="46">
                  <c:v>0.64412131765005609</c:v>
                </c:pt>
                <c:pt idx="47">
                  <c:v>0.64057488815393449</c:v>
                </c:pt>
                <c:pt idx="48">
                  <c:v>0.63713638618474011</c:v>
                </c:pt>
                <c:pt idx="49">
                  <c:v>0.6338002883154511</c:v>
                </c:pt>
                <c:pt idx="50">
                  <c:v>0.63056146143106395</c:v>
                </c:pt>
                <c:pt idx="51">
                  <c:v>0.62741512791452636</c:v>
                </c:pt>
                <c:pt idx="52">
                  <c:v>0.62435683455438551</c:v>
                </c:pt>
                <c:pt idx="53">
                  <c:v>0.62138242471317462</c:v>
                </c:pt>
                <c:pt idx="54">
                  <c:v>0.61848801336010073</c:v>
                </c:pt>
                <c:pt idx="55">
                  <c:v>0.61566996462620371</c:v>
                </c:pt>
                <c:pt idx="56">
                  <c:v>0.61292487158633202</c:v>
                </c:pt>
                <c:pt idx="57">
                  <c:v>0.61024953801152626</c:v>
                </c:pt>
                <c:pt idx="58">
                  <c:v>0.60764096186887551</c:v>
                </c:pt>
                <c:pt idx="59">
                  <c:v>0.60509632037450234</c:v>
                </c:pt>
                <c:pt idx="60">
                  <c:v>0.60261295642982027</c:v>
                </c:pt>
                <c:pt idx="61">
                  <c:v>0.60018836629230377</c:v>
                </c:pt>
                <c:pt idx="62">
                  <c:v>0.59782018835014417</c:v>
                </c:pt>
                <c:pt idx="63">
                  <c:v>0.59550619288586071</c:v>
                </c:pt>
                <c:pt idx="64">
                  <c:v>0.59324427272753077</c:v>
                </c:pt>
                <c:pt idx="65">
                  <c:v>0.59103243469806177</c:v>
                </c:pt>
                <c:pt idx="66">
                  <c:v>0.58886879178323703</c:v>
                </c:pt>
                <c:pt idx="67">
                  <c:v>0.5867515559481794</c:v>
                </c:pt>
                <c:pt idx="68">
                  <c:v>0.58467903153973622</c:v>
                </c:pt>
                <c:pt idx="69">
                  <c:v>0.58264960921909903</c:v>
                </c:pt>
                <c:pt idx="70">
                  <c:v>0.58066176037502726</c:v>
                </c:pt>
                <c:pt idx="71">
                  <c:v>0.57871403197328763</c:v>
                </c:pt>
                <c:pt idx="72">
                  <c:v>0.57680504180264025</c:v>
                </c:pt>
                <c:pt idx="73">
                  <c:v>0.57493347408174234</c:v>
                </c:pt>
                <c:pt idx="74">
                  <c:v>0.57309807539502977</c:v>
                </c:pt>
                <c:pt idx="75">
                  <c:v>0.57129765092884499</c:v>
                </c:pt>
                <c:pt idx="76">
                  <c:v>0.56953106098192374</c:v>
                </c:pt>
                <c:pt idx="77">
                  <c:v>0.56779721772690261</c:v>
                </c:pt>
                <c:pt idx="78">
                  <c:v>0.56609508220177918</c:v>
                </c:pt>
                <c:pt idx="79">
                  <c:v>0.56442366151225376</c:v>
                </c:pt>
                <c:pt idx="80">
                  <c:v>0.56278200622770169</c:v>
                </c:pt>
                <c:pt idx="81">
                  <c:v>0.5611692079551136</c:v>
                </c:pt>
                <c:pt idx="82">
                  <c:v>0.55958439707680785</c:v>
                </c:pt>
                <c:pt idx="83">
                  <c:v>0.55802674063899271</c:v>
                </c:pt>
                <c:pt idx="84">
                  <c:v>0.55649544037942944</c:v>
                </c:pt>
                <c:pt idx="85">
                  <c:v>0.55498973088347336</c:v>
                </c:pt>
                <c:pt idx="86">
                  <c:v>0.55350887785874425</c:v>
                </c:pt>
                <c:pt idx="87">
                  <c:v>0.55205217651949057</c:v>
                </c:pt>
                <c:pt idx="88">
                  <c:v>0.55061895007249217</c:v>
                </c:pt>
                <c:pt idx="89">
                  <c:v>0.54920854829704824</c:v>
                </c:pt>
                <c:pt idx="90">
                  <c:v>0.54782034621220665</c:v>
                </c:pt>
                <c:pt idx="91">
                  <c:v>0.54645374282495307</c:v>
                </c:pt>
                <c:pt idx="92">
                  <c:v>0.54510815995363049</c:v>
                </c:pt>
                <c:pt idx="93">
                  <c:v>0.54378304112127729</c:v>
                </c:pt>
                <c:pt idx="94">
                  <c:v>0.54247785051403064</c:v>
                </c:pt>
                <c:pt idx="95">
                  <c:v>0.54119207200011099</c:v>
                </c:pt>
                <c:pt idx="96">
                  <c:v>0.53992520820527201</c:v>
                </c:pt>
                <c:pt idx="97">
                  <c:v>0.53867677964090344</c:v>
                </c:pt>
                <c:pt idx="98">
                  <c:v>0.53744632388127944</c:v>
                </c:pt>
                <c:pt idx="99">
                  <c:v>0.53623339478670162</c:v>
                </c:pt>
                <c:pt idx="100">
                  <c:v>0.53503756176954331</c:v>
                </c:pt>
                <c:pt idx="101">
                  <c:v>0.53385840910042925</c:v>
                </c:pt>
                <c:pt idx="102">
                  <c:v>0.5326955352519529</c:v>
                </c:pt>
                <c:pt idx="103">
                  <c:v>0.53154855227757891</c:v>
                </c:pt>
                <c:pt idx="104">
                  <c:v>0.53041708522350628</c:v>
                </c:pt>
                <c:pt idx="105">
                  <c:v>0.52930077157144617</c:v>
                </c:pt>
                <c:pt idx="106">
                  <c:v>0.52819926071040246</c:v>
                </c:pt>
                <c:pt idx="107">
                  <c:v>0.52711221343570092</c:v>
                </c:pt>
                <c:pt idx="108">
                  <c:v>0.52603930147360067</c:v>
                </c:pt>
                <c:pt idx="109">
                  <c:v>0.52498020702997061</c:v>
                </c:pt>
                <c:pt idx="110">
                  <c:v>0.52393462236159105</c:v>
                </c:pt>
                <c:pt idx="111">
                  <c:v>0.52290224936876339</c:v>
                </c:pt>
                <c:pt idx="112">
                  <c:v>0.52188279920796965</c:v>
                </c:pt>
                <c:pt idx="113">
                  <c:v>0.52087599192343703</c:v>
                </c:pt>
                <c:pt idx="114">
                  <c:v>0.51988155609652364</c:v>
                </c:pt>
                <c:pt idx="115">
                  <c:v>0.51889922851190196</c:v>
                </c:pt>
                <c:pt idx="116">
                  <c:v>0.51792875383961312</c:v>
                </c:pt>
                <c:pt idx="117">
                  <c:v>0.51696988433209745</c:v>
                </c:pt>
                <c:pt idx="118">
                  <c:v>0.516022379535367</c:v>
                </c:pt>
                <c:pt idx="119">
                  <c:v>0.51508600601356025</c:v>
                </c:pt>
                <c:pt idx="120">
                  <c:v>0.51416053708614196</c:v>
                </c:pt>
                <c:pt idx="121">
                  <c:v>0.51324575257706195</c:v>
                </c:pt>
                <c:pt idx="122">
                  <c:v>0.51234143857524794</c:v>
                </c:pt>
                <c:pt idx="123">
                  <c:v>0.5114473872058195</c:v>
                </c:pt>
                <c:pt idx="124">
                  <c:v>0.51056339641145865</c:v>
                </c:pt>
                <c:pt idx="125">
                  <c:v>0.50968926974342565</c:v>
                </c:pt>
                <c:pt idx="126">
                  <c:v>0.50882481616168729</c:v>
                </c:pt>
                <c:pt idx="127">
                  <c:v>0.5079698498437305</c:v>
                </c:pt>
                <c:pt idx="128">
                  <c:v>0.5071241900015826</c:v>
                </c:pt>
                <c:pt idx="129">
                  <c:v>0.50628766070664921</c:v>
                </c:pt>
                <c:pt idx="130">
                  <c:v>0.50546009072196185</c:v>
                </c:pt>
                <c:pt idx="131">
                  <c:v>0.50464131334147622</c:v>
                </c:pt>
                <c:pt idx="132">
                  <c:v>0.50383116623607027</c:v>
                </c:pt>
                <c:pt idx="133">
                  <c:v>0.50302949130590979</c:v>
                </c:pt>
                <c:pt idx="134">
                  <c:v>0.50223613453888183</c:v>
                </c:pt>
                <c:pt idx="135">
                  <c:v>0.501450945874788</c:v>
                </c:pt>
                <c:pt idx="136">
                  <c:v>0.50067377907503863</c:v>
                </c:pt>
                <c:pt idx="137">
                  <c:v>0.49990449159757594</c:v>
                </c:pt>
                <c:pt idx="138">
                  <c:v>0.4991429444767766</c:v>
                </c:pt>
                <c:pt idx="139">
                  <c:v>0.4983890022081171</c:v>
                </c:pt>
                <c:pt idx="140">
                  <c:v>0.49764253263735481</c:v>
                </c:pt>
                <c:pt idx="141">
                  <c:v>0.49690340685404089</c:v>
                </c:pt>
                <c:pt idx="142">
                  <c:v>0.49617149908915309</c:v>
                </c:pt>
                <c:pt idx="143">
                  <c:v>0.49544668661665936</c:v>
                </c:pt>
                <c:pt idx="144">
                  <c:v>0.49472884965884573</c:v>
                </c:pt>
                <c:pt idx="145">
                  <c:v>0.49401787129522523</c:v>
                </c:pt>
                <c:pt idx="146">
                  <c:v>0.49331363737488365</c:v>
                </c:pt>
                <c:pt idx="147">
                  <c:v>0.49261603643209401</c:v>
                </c:pt>
                <c:pt idx="148">
                  <c:v>0.49192495960506794</c:v>
                </c:pt>
                <c:pt idx="149">
                  <c:v>0.49124030055770485</c:v>
                </c:pt>
                <c:pt idx="150">
                  <c:v>0.49056195540420094</c:v>
                </c:pt>
                <c:pt idx="151">
                  <c:v>0.48988982263640751</c:v>
                </c:pt>
                <c:pt idx="152">
                  <c:v>0.4892238030538088</c:v>
                </c:pt>
                <c:pt idx="153">
                  <c:v>0.48856379969601615</c:v>
                </c:pt>
                <c:pt idx="154">
                  <c:v>0.48790971777766701</c:v>
                </c:pt>
                <c:pt idx="155">
                  <c:v>0.48726146462563719</c:v>
                </c:pt>
                <c:pt idx="156">
                  <c:v>0.48661894961845165</c:v>
                </c:pt>
                <c:pt idx="157">
                  <c:v>0.48598208412782395</c:v>
                </c:pt>
                <c:pt idx="158">
                  <c:v>0.48535078146222199</c:v>
                </c:pt>
                <c:pt idx="159">
                  <c:v>0.48472495681238248</c:v>
                </c:pt>
                <c:pt idx="160">
                  <c:v>0.48410452719869851</c:v>
                </c:pt>
                <c:pt idx="161">
                  <c:v>0.48348941142039509</c:v>
                </c:pt>
                <c:pt idx="162">
                  <c:v>0.48287953000642592</c:v>
                </c:pt>
                <c:pt idx="163">
                  <c:v>0.4822748051680345</c:v>
                </c:pt>
                <c:pt idx="164">
                  <c:v>0.48167516075288397</c:v>
                </c:pt>
                <c:pt idx="165">
                  <c:v>0.48108052220072955</c:v>
                </c:pt>
                <c:pt idx="166">
                  <c:v>0.48049081650054765</c:v>
                </c:pt>
                <c:pt idx="167">
                  <c:v>0.47990597214906999</c:v>
                </c:pt>
                <c:pt idx="168">
                  <c:v>0.47932591911068118</c:v>
                </c:pt>
                <c:pt idx="169">
                  <c:v>0.47875058877860827</c:v>
                </c:pt>
                <c:pt idx="170">
                  <c:v>0.47817991393737042</c:v>
                </c:pt>
                <c:pt idx="171">
                  <c:v>0.47761382872642577</c:v>
                </c:pt>
                <c:pt idx="172">
                  <c:v>0.47705226860498345</c:v>
                </c:pt>
                <c:pt idx="173">
                  <c:v>0.47649517031792399</c:v>
                </c:pt>
                <c:pt idx="174">
                  <c:v>0.47594247186280025</c:v>
                </c:pt>
                <c:pt idx="175">
                  <c:v>0.47539411245787089</c:v>
                </c:pt>
                <c:pt idx="176">
                  <c:v>0.47485003251112223</c:v>
                </c:pt>
                <c:pt idx="177">
                  <c:v>0.47431017359026273</c:v>
                </c:pt>
                <c:pt idx="178">
                  <c:v>0.47377447839362719</c:v>
                </c:pt>
                <c:pt idx="179">
                  <c:v>0.47324289072198128</c:v>
                </c:pt>
                <c:pt idx="180">
                  <c:v>0.47271535545118204</c:v>
                </c:pt>
                <c:pt idx="181">
                  <c:v>0.47219181850566644</c:v>
                </c:pt>
                <c:pt idx="182">
                  <c:v>0.47167222683273224</c:v>
                </c:pt>
                <c:pt idx="183">
                  <c:v>0.47115652837760286</c:v>
                </c:pt>
                <c:pt idx="184">
                  <c:v>0.47064467205921579</c:v>
                </c:pt>
                <c:pt idx="185">
                  <c:v>0.47013660774674643</c:v>
                </c:pt>
                <c:pt idx="186">
                  <c:v>0.46963228623680969</c:v>
                </c:pt>
                <c:pt idx="187">
                  <c:v>0.46913165923133732</c:v>
                </c:pt>
                <c:pt idx="188">
                  <c:v>0.46863467931609465</c:v>
                </c:pt>
                <c:pt idx="189">
                  <c:v>0.46814129993982506</c:v>
                </c:pt>
                <c:pt idx="190">
                  <c:v>0.46765147539398849</c:v>
                </c:pt>
                <c:pt idx="191">
                  <c:v>0.46716516079309073</c:v>
                </c:pt>
                <c:pt idx="192">
                  <c:v>0.46668231205556143</c:v>
                </c:pt>
                <c:pt idx="193">
                  <c:v>0.4662028858851866</c:v>
                </c:pt>
                <c:pt idx="194">
                  <c:v>0.46572683975305718</c:v>
                </c:pt>
                <c:pt idx="195">
                  <c:v>0.46525413188002562</c:v>
                </c:pt>
                <c:pt idx="196">
                  <c:v>0.46478472121965531</c:v>
                </c:pt>
                <c:pt idx="197">
                  <c:v>0.46431856744164224</c:v>
                </c:pt>
                <c:pt idx="198">
                  <c:v>0.46385563091569393</c:v>
                </c:pt>
              </c:numCache>
            </c:numRef>
          </c:yVal>
          <c:smooth val="0"/>
        </c:ser>
        <c:ser>
          <c:idx val="22"/>
          <c:order val="10"/>
          <c:tx>
            <c:strRef>
              <c:f>协调曲线图!$F$89</c:f>
              <c:strCache>
                <c:ptCount val="1"/>
                <c:pt idx="0">
                  <c:v>--------------------Lco-20Kv母联</c:v>
                </c:pt>
              </c:strCache>
            </c:strRef>
          </c:tx>
          <c:spPr>
            <a:ln w="25400">
              <a:solidFill>
                <a:srgbClr val="FF00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0.20734917307244388"/>
                  <c:y val="0.1322943935846669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曲線Lever計算!$Y$9:$Y$207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曲線Lever計算!$W$9:$W$207</c:f>
              <c:numCache>
                <c:formatCode>General</c:formatCode>
                <c:ptCount val="199"/>
                <c:pt idx="0">
                  <c:v>4.3898098067545233</c:v>
                </c:pt>
                <c:pt idx="1">
                  <c:v>2.758420944562419</c:v>
                </c:pt>
                <c:pt idx="2">
                  <c:v>2.1796912255713186</c:v>
                </c:pt>
                <c:pt idx="3">
                  <c:v>1.8732781455316454</c:v>
                </c:pt>
                <c:pt idx="4">
                  <c:v>1.6795791886722762</c:v>
                </c:pt>
                <c:pt idx="5">
                  <c:v>1.5441296835275333</c:v>
                </c:pt>
                <c:pt idx="6">
                  <c:v>1.4430322232710773</c:v>
                </c:pt>
                <c:pt idx="7">
                  <c:v>1.3640589061134658</c:v>
                </c:pt>
                <c:pt idx="8">
                  <c:v>1.3002620240555354</c:v>
                </c:pt>
                <c:pt idx="9">
                  <c:v>1.247381176985366</c:v>
                </c:pt>
                <c:pt idx="10">
                  <c:v>1.2026475164529722</c:v>
                </c:pt>
                <c:pt idx="11">
                  <c:v>1.1641772162635693</c:v>
                </c:pt>
                <c:pt idx="12">
                  <c:v>1.1306402122118349</c:v>
                </c:pt>
                <c:pt idx="13">
                  <c:v>1.1010682480347596</c:v>
                </c:pt>
                <c:pt idx="14">
                  <c:v>1.0747381122908561</c:v>
                </c:pt>
                <c:pt idx="15">
                  <c:v>1.0510976731414765</c:v>
                </c:pt>
                <c:pt idx="16">
                  <c:v>1.0297173835859499</c:v>
                </c:pt>
                <c:pt idx="17">
                  <c:v>1.0102575316895244</c:v>
                </c:pt>
                <c:pt idx="18">
                  <c:v>0.99244554795326068</c:v>
                </c:pt>
                <c:pt idx="19">
                  <c:v>0.97605992280473441</c:v>
                </c:pt>
                <c:pt idx="20">
                  <c:v>0.96091857917370616</c:v>
                </c:pt>
                <c:pt idx="21">
                  <c:v>0.94687031535537058</c:v>
                </c:pt>
                <c:pt idx="22">
                  <c:v>0.93378840632979898</c:v>
                </c:pt>
                <c:pt idx="23">
                  <c:v>0.9215657498796983</c:v>
                </c:pt>
                <c:pt idx="24">
                  <c:v>0.910111136318279</c:v>
                </c:pt>
                <c:pt idx="25">
                  <c:v>0.89934634755118137</c:v>
                </c:pt>
                <c:pt idx="26">
                  <c:v>0.88920387651247124</c:v>
                </c:pt>
                <c:pt idx="27">
                  <c:v>0.87962511638538177</c:v>
                </c:pt>
                <c:pt idx="28">
                  <c:v>0.87055890960229676</c:v>
                </c:pt>
                <c:pt idx="29">
                  <c:v>0.8619603752549968</c:v>
                </c:pt>
                <c:pt idx="30">
                  <c:v>0.8537899540303574</c:v>
                </c:pt>
                <c:pt idx="31">
                  <c:v>0.84601262462443017</c:v>
                </c:pt>
                <c:pt idx="32">
                  <c:v>0.83859725646245897</c:v>
                </c:pt>
                <c:pt idx="33">
                  <c:v>0.83151607160908048</c:v>
                </c:pt>
                <c:pt idx="34">
                  <c:v>0.82474419478293126</c:v>
                </c:pt>
                <c:pt idx="35">
                  <c:v>0.81825927494593953</c:v>
                </c:pt>
                <c:pt idx="36">
                  <c:v>0.8120411654104841</c:v>
                </c:pt>
                <c:pt idx="37">
                  <c:v>0.80607165207716946</c:v>
                </c:pt>
                <c:pt idx="38">
                  <c:v>0.80033422148416389</c:v>
                </c:pt>
                <c:pt idx="39">
                  <c:v>0.7948138619630194</c:v>
                </c:pt>
                <c:pt idx="40">
                  <c:v>0.78949689246447929</c:v>
                </c:pt>
                <c:pt idx="41">
                  <c:v>0.78437081462124114</c:v>
                </c:pt>
                <c:pt idx="42">
                  <c:v>0.77942418441350803</c:v>
                </c:pt>
                <c:pt idx="43">
                  <c:v>0.77464650044289263</c:v>
                </c:pt>
                <c:pt idx="44">
                  <c:v>0.77002810633529284</c:v>
                </c:pt>
                <c:pt idx="45">
                  <c:v>0.76556010521048545</c:v>
                </c:pt>
                <c:pt idx="46">
                  <c:v>0.76123428449552089</c:v>
                </c:pt>
                <c:pt idx="47">
                  <c:v>0.75704304963646807</c:v>
                </c:pt>
                <c:pt idx="48">
                  <c:v>0.75297936549105648</c:v>
                </c:pt>
                <c:pt idx="49">
                  <c:v>0.74903670437280589</c:v>
                </c:pt>
                <c:pt idx="50">
                  <c:v>0.74520899987307565</c:v>
                </c:pt>
                <c:pt idx="51">
                  <c:v>0.74149060571716752</c:v>
                </c:pt>
                <c:pt idx="52">
                  <c:v>0.73787625901881937</c:v>
                </c:pt>
                <c:pt idx="53">
                  <c:v>0.73436104738829744</c:v>
                </c:pt>
                <c:pt idx="54">
                  <c:v>0.73094037942557366</c:v>
                </c:pt>
                <c:pt idx="55">
                  <c:v>0.7276099581946045</c:v>
                </c:pt>
                <c:pt idx="56">
                  <c:v>0.72436575732930153</c:v>
                </c:pt>
                <c:pt idx="57">
                  <c:v>0.72120399946816738</c:v>
                </c:pt>
                <c:pt idx="58">
                  <c:v>0.71812113675412559</c:v>
                </c:pt>
                <c:pt idx="59">
                  <c:v>0.71511383316986643</c:v>
                </c:pt>
                <c:pt idx="60">
                  <c:v>0.71217894850796948</c:v>
                </c:pt>
                <c:pt idx="61">
                  <c:v>0.70931352379999535</c:v>
                </c:pt>
                <c:pt idx="62">
                  <c:v>0.70651476805017044</c:v>
                </c:pt>
                <c:pt idx="63">
                  <c:v>0.7037800461378354</c:v>
                </c:pt>
                <c:pt idx="64">
                  <c:v>0.70110686776889997</c:v>
                </c:pt>
                <c:pt idx="65">
                  <c:v>0.69849287737043664</c:v>
                </c:pt>
                <c:pt idx="66">
                  <c:v>0.6959358448347347</c:v>
                </c:pt>
                <c:pt idx="67">
                  <c:v>0.69343365702966664</c:v>
                </c:pt>
                <c:pt idx="68">
                  <c:v>0.6909843100015064</c:v>
                </c:pt>
                <c:pt idx="69">
                  <c:v>0.68858590180438983</c:v>
                </c:pt>
                <c:pt idx="70">
                  <c:v>0.68623662589775958</c:v>
                </c:pt>
                <c:pt idx="71">
                  <c:v>0.68393476505933992</c:v>
                </c:pt>
                <c:pt idx="72">
                  <c:v>0.68167868576675672</c:v>
                </c:pt>
                <c:pt idx="73">
                  <c:v>0.67946683300569555</c:v>
                </c:pt>
                <c:pt idx="74">
                  <c:v>0.67729772546685341</c:v>
                </c:pt>
                <c:pt idx="75">
                  <c:v>0.67516995109772593</c:v>
                </c:pt>
                <c:pt idx="76">
                  <c:v>0.67308216297863721</c:v>
                </c:pt>
                <c:pt idx="77">
                  <c:v>0.67103307549543034</c:v>
                </c:pt>
                <c:pt idx="78">
                  <c:v>0.66902146078392088</c:v>
                </c:pt>
                <c:pt idx="79">
                  <c:v>0.66704614542357266</c:v>
                </c:pt>
                <c:pt idx="80">
                  <c:v>0.66510600736001102</c:v>
                </c:pt>
                <c:pt idx="81">
                  <c:v>0.6631999730378616</c:v>
                </c:pt>
                <c:pt idx="82">
                  <c:v>0.66132701472713662</c:v>
                </c:pt>
                <c:pt idx="83">
                  <c:v>0.65948614802790062</c:v>
                </c:pt>
                <c:pt idx="84">
                  <c:v>0.6576764295393257</c:v>
                </c:pt>
                <c:pt idx="85">
                  <c:v>0.6558969546804686</c:v>
                </c:pt>
                <c:pt idx="86">
                  <c:v>0.65414685565124331</c:v>
                </c:pt>
                <c:pt idx="87">
                  <c:v>0.6524252995230343</c:v>
                </c:pt>
                <c:pt idx="88">
                  <c:v>0.650731486449309</c:v>
                </c:pt>
                <c:pt idx="89">
                  <c:v>0.6490646479874207</c:v>
                </c:pt>
                <c:pt idx="90">
                  <c:v>0.64742404552351696</c:v>
                </c:pt>
                <c:pt idx="91">
                  <c:v>0.64580896879312633</c:v>
                </c:pt>
                <c:pt idx="92">
                  <c:v>0.64421873449065425</c:v>
                </c:pt>
                <c:pt idx="93">
                  <c:v>0.64265268496150951</c:v>
                </c:pt>
                <c:pt idx="94">
                  <c:v>0.64111018697112709</c:v>
                </c:pt>
                <c:pt idx="95">
                  <c:v>0.63959063054558574</c:v>
                </c:pt>
                <c:pt idx="96">
                  <c:v>0.63809342787895795</c:v>
                </c:pt>
                <c:pt idx="97">
                  <c:v>0.63661801230288584</c:v>
                </c:pt>
                <c:pt idx="98">
                  <c:v>0.63516383731423931</c:v>
                </c:pt>
                <c:pt idx="99">
                  <c:v>0.63373037565701107</c:v>
                </c:pt>
                <c:pt idx="100">
                  <c:v>0.63231711845491489</c:v>
                </c:pt>
                <c:pt idx="101">
                  <c:v>0.63092357439141644</c:v>
                </c:pt>
                <c:pt idx="102">
                  <c:v>0.62954926893412622</c:v>
                </c:pt>
                <c:pt idx="103">
                  <c:v>0.62819374360077507</c:v>
                </c:pt>
                <c:pt idx="104">
                  <c:v>0.62685655526414374</c:v>
                </c:pt>
                <c:pt idx="105">
                  <c:v>0.62553727549352733</c:v>
                </c:pt>
                <c:pt idx="106">
                  <c:v>0.62423548993047573</c:v>
                </c:pt>
                <c:pt idx="107">
                  <c:v>0.62295079769673756</c:v>
                </c:pt>
                <c:pt idx="108">
                  <c:v>0.62168281083243715</c:v>
                </c:pt>
                <c:pt idx="109">
                  <c:v>0.62043115376269253</c:v>
                </c:pt>
                <c:pt idx="110">
                  <c:v>0.61919546279097126</c:v>
                </c:pt>
                <c:pt idx="111">
                  <c:v>0.61797538561762944</c:v>
                </c:pt>
                <c:pt idx="112">
                  <c:v>0.61677058088214598</c:v>
                </c:pt>
                <c:pt idx="113">
                  <c:v>0.61558071772769829</c:v>
                </c:pt>
                <c:pt idx="114">
                  <c:v>0.61440547538680079</c:v>
                </c:pt>
                <c:pt idx="115">
                  <c:v>0.6132445427867933</c:v>
                </c:pt>
                <c:pt idx="116">
                  <c:v>0.61209761817408825</c:v>
                </c:pt>
                <c:pt idx="117">
                  <c:v>0.61096440875611524</c:v>
                </c:pt>
                <c:pt idx="118">
                  <c:v>0.60984463035997916</c:v>
                </c:pt>
                <c:pt idx="119">
                  <c:v>0.60873800710693482</c:v>
                </c:pt>
                <c:pt idx="120">
                  <c:v>0.60764427110180408</c:v>
                </c:pt>
                <c:pt idx="121">
                  <c:v>0.60656316213652772</c:v>
                </c:pt>
                <c:pt idx="122">
                  <c:v>0.60549442740711124</c:v>
                </c:pt>
                <c:pt idx="123">
                  <c:v>0.6044378212432413</c:v>
                </c:pt>
                <c:pt idx="124">
                  <c:v>0.60339310484990583</c:v>
                </c:pt>
                <c:pt idx="125">
                  <c:v>0.60236004606041216</c:v>
                </c:pt>
                <c:pt idx="126">
                  <c:v>0.60133841910017582</c:v>
                </c:pt>
                <c:pt idx="127">
                  <c:v>0.60032800436077238</c:v>
                </c:pt>
                <c:pt idx="128">
                  <c:v>0.59932858818368862</c:v>
                </c:pt>
                <c:pt idx="129">
                  <c:v>0.59833996265331268</c:v>
                </c:pt>
                <c:pt idx="130">
                  <c:v>0.59736192539868227</c:v>
                </c:pt>
                <c:pt idx="131">
                  <c:v>0.59639427940356282</c:v>
                </c:pt>
                <c:pt idx="132">
                  <c:v>0.5954368328244467</c:v>
                </c:pt>
                <c:pt idx="133">
                  <c:v>0.59448939881607521</c:v>
                </c:pt>
                <c:pt idx="134">
                  <c:v>0.59355179536413316</c:v>
                </c:pt>
                <c:pt idx="135">
                  <c:v>0.59262384512474953</c:v>
                </c:pt>
                <c:pt idx="136">
                  <c:v>0.59170537527050027</c:v>
                </c:pt>
                <c:pt idx="137">
                  <c:v>0.5907962173425898</c:v>
                </c:pt>
                <c:pt idx="138">
                  <c:v>0.58989620710891777</c:v>
                </c:pt>
                <c:pt idx="139">
                  <c:v>0.58900518442777483</c:v>
                </c:pt>
                <c:pt idx="140">
                  <c:v>0.58812299311687388</c:v>
                </c:pt>
                <c:pt idx="141">
                  <c:v>0.58724948082750283</c:v>
                </c:pt>
                <c:pt idx="142">
                  <c:v>0.58638449892354461</c:v>
                </c:pt>
                <c:pt idx="143">
                  <c:v>0.58552790236514296</c:v>
                </c:pt>
                <c:pt idx="144">
                  <c:v>0.58467954959681767</c:v>
                </c:pt>
                <c:pt idx="145">
                  <c:v>0.58383930243981175</c:v>
                </c:pt>
                <c:pt idx="146">
                  <c:v>0.58300702598849885</c:v>
                </c:pt>
                <c:pt idx="147">
                  <c:v>0.58218258851065652</c:v>
                </c:pt>
                <c:pt idx="148">
                  <c:v>0.58136586135144397</c:v>
                </c:pt>
                <c:pt idx="149">
                  <c:v>0.58055671884092397</c:v>
                </c:pt>
                <c:pt idx="150">
                  <c:v>0.57975503820496477</c:v>
                </c:pt>
                <c:pt idx="151">
                  <c:v>0.57896069947939077</c:v>
                </c:pt>
                <c:pt idx="152">
                  <c:v>0.57817358542722863</c:v>
                </c:pt>
                <c:pt idx="153">
                  <c:v>0.57739358145892827</c:v>
                </c:pt>
                <c:pt idx="154">
                  <c:v>0.57662057555542467</c:v>
                </c:pt>
                <c:pt idx="155">
                  <c:v>0.57585445819393488</c:v>
                </c:pt>
                <c:pt idx="156">
                  <c:v>0.57509512227635196</c:v>
                </c:pt>
                <c:pt idx="157">
                  <c:v>0.57434246306015568</c:v>
                </c:pt>
                <c:pt idx="158">
                  <c:v>0.57359637809171693</c:v>
                </c:pt>
                <c:pt idx="159">
                  <c:v>0.57285676714190659</c:v>
                </c:pt>
                <c:pt idx="160">
                  <c:v>0.57212353214391642</c:v>
                </c:pt>
                <c:pt idx="161">
                  <c:v>0.57139657713319425</c:v>
                </c:pt>
                <c:pt idx="162">
                  <c:v>0.57067580818941244</c:v>
                </c:pt>
                <c:pt idx="163">
                  <c:v>0.56996113338040444</c:v>
                </c:pt>
                <c:pt idx="164">
                  <c:v>0.56925246270795382</c:v>
                </c:pt>
                <c:pt idx="165">
                  <c:v>0.56854970805540772</c:v>
                </c:pt>
                <c:pt idx="166">
                  <c:v>0.56785278313701093</c:v>
                </c:pt>
                <c:pt idx="167">
                  <c:v>0.56716160344890099</c:v>
                </c:pt>
                <c:pt idx="168">
                  <c:v>0.56647608622171419</c:v>
                </c:pt>
                <c:pt idx="169">
                  <c:v>0.56579615037471886</c:v>
                </c:pt>
                <c:pt idx="170">
                  <c:v>0.56512171647143783</c:v>
                </c:pt>
                <c:pt idx="171">
                  <c:v>0.56445270667668501</c:v>
                </c:pt>
                <c:pt idx="172">
                  <c:v>0.56378904471498048</c:v>
                </c:pt>
                <c:pt idx="173">
                  <c:v>0.56313065583027389</c:v>
                </c:pt>
                <c:pt idx="174">
                  <c:v>0.56247746674694576</c:v>
                </c:pt>
                <c:pt idx="175">
                  <c:v>0.56182940563202932</c:v>
                </c:pt>
                <c:pt idx="176">
                  <c:v>0.56118640205859904</c:v>
                </c:pt>
                <c:pt idx="177">
                  <c:v>0.56054838697031051</c:v>
                </c:pt>
                <c:pt idx="178">
                  <c:v>0.55991529264701401</c:v>
                </c:pt>
                <c:pt idx="179">
                  <c:v>0.55928705267143253</c:v>
                </c:pt>
                <c:pt idx="180">
                  <c:v>0.5586636018968516</c:v>
                </c:pt>
                <c:pt idx="181">
                  <c:v>0.55804487641578759</c:v>
                </c:pt>
                <c:pt idx="182">
                  <c:v>0.55743081352959267</c:v>
                </c:pt>
                <c:pt idx="183">
                  <c:v>0.55682135171898528</c:v>
                </c:pt>
                <c:pt idx="184">
                  <c:v>0.55621643061543691</c:v>
                </c:pt>
                <c:pt idx="185">
                  <c:v>0.55561599097342762</c:v>
                </c:pt>
                <c:pt idx="186">
                  <c:v>0.55501997464350239</c:v>
                </c:pt>
                <c:pt idx="187">
                  <c:v>0.55442832454612589</c:v>
                </c:pt>
                <c:pt idx="188">
                  <c:v>0.55384098464629372</c:v>
                </c:pt>
                <c:pt idx="189">
                  <c:v>0.55325789992888419</c:v>
                </c:pt>
                <c:pt idx="190">
                  <c:v>0.55267901637471373</c:v>
                </c:pt>
                <c:pt idx="191">
                  <c:v>0.55210428093728914</c:v>
                </c:pt>
                <c:pt idx="192">
                  <c:v>0.55153364152020901</c:v>
                </c:pt>
                <c:pt idx="193">
                  <c:v>0.55096704695522059</c:v>
                </c:pt>
                <c:pt idx="194">
                  <c:v>0.55040444698088575</c:v>
                </c:pt>
                <c:pt idx="195">
                  <c:v>0.54984579222184848</c:v>
                </c:pt>
                <c:pt idx="196">
                  <c:v>0.54929103416868363</c:v>
                </c:pt>
                <c:pt idx="197">
                  <c:v>0.5487401251583045</c:v>
                </c:pt>
                <c:pt idx="198">
                  <c:v>0.54819301835491108</c:v>
                </c:pt>
              </c:numCache>
            </c:numRef>
          </c:yVal>
          <c:smooth val="0"/>
        </c:ser>
        <c:ser>
          <c:idx val="23"/>
          <c:order val="11"/>
          <c:tx>
            <c:strRef>
              <c:f>协调曲线图!$F$90</c:f>
              <c:strCache>
                <c:ptCount val="1"/>
                <c:pt idx="0">
                  <c:v>--------------------Lco-20Kv进线</c:v>
                </c:pt>
              </c:strCache>
            </c:strRef>
          </c:tx>
          <c:spPr>
            <a:ln w="25400">
              <a:solidFill>
                <a:srgbClr val="0080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0.26791288143489478"/>
                  <c:y val="0.1832594770806544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8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曲線Lever計算!$AD$9:$AD$207</c:f>
              <c:numCache>
                <c:formatCode>General</c:formatCode>
                <c:ptCount val="199"/>
                <c:pt idx="0">
                  <c:v>60</c:v>
                </c:pt>
                <c:pt idx="1">
                  <c:v>90</c:v>
                </c:pt>
                <c:pt idx="2">
                  <c:v>120</c:v>
                </c:pt>
                <c:pt idx="3">
                  <c:v>150</c:v>
                </c:pt>
                <c:pt idx="4">
                  <c:v>180</c:v>
                </c:pt>
                <c:pt idx="5">
                  <c:v>210</c:v>
                </c:pt>
                <c:pt idx="6">
                  <c:v>240</c:v>
                </c:pt>
                <c:pt idx="7">
                  <c:v>270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6000</c:v>
                </c:pt>
              </c:numCache>
            </c:numRef>
          </c:xVal>
          <c:yVal>
            <c:numRef>
              <c:f>曲線Lever計算!$AB$9:$AB$207</c:f>
              <c:numCache>
                <c:formatCode>General</c:formatCode>
                <c:ptCount val="199"/>
                <c:pt idx="0">
                  <c:v>5.4028428390824894</c:v>
                </c:pt>
                <c:pt idx="1">
                  <c:v>3.3949796240768233</c:v>
                </c:pt>
                <c:pt idx="2">
                  <c:v>2.6826968930108537</c:v>
                </c:pt>
                <c:pt idx="3">
                  <c:v>2.3055731021927941</c:v>
                </c:pt>
                <c:pt idx="4">
                  <c:v>2.0671743860581859</c:v>
                </c:pt>
                <c:pt idx="5">
                  <c:v>1.9004673028031178</c:v>
                </c:pt>
                <c:pt idx="6">
                  <c:v>1.7760396594105565</c:v>
                </c:pt>
                <c:pt idx="7">
                  <c:v>1.6788417306011887</c:v>
                </c:pt>
                <c:pt idx="8">
                  <c:v>1.6003224911452743</c:v>
                </c:pt>
                <c:pt idx="9">
                  <c:v>1.5352383716742966</c:v>
                </c:pt>
                <c:pt idx="10">
                  <c:v>1.4801815587113505</c:v>
                </c:pt>
                <c:pt idx="11">
                  <c:v>1.4328334969397774</c:v>
                </c:pt>
                <c:pt idx="12">
                  <c:v>1.3915571842607197</c:v>
                </c:pt>
                <c:pt idx="13">
                  <c:v>1.3551609206581654</c:v>
                </c:pt>
                <c:pt idx="14">
                  <c:v>1.322754599742592</c:v>
                </c:pt>
                <c:pt idx="15">
                  <c:v>1.2936586746356633</c:v>
                </c:pt>
                <c:pt idx="16">
                  <c:v>1.2673444721057843</c:v>
                </c:pt>
                <c:pt idx="17">
                  <c:v>1.2433938851563378</c:v>
                </c:pt>
                <c:pt idx="18">
                  <c:v>1.2214714436347822</c:v>
                </c:pt>
                <c:pt idx="19">
                  <c:v>1.2013045203750576</c:v>
                </c:pt>
                <c:pt idx="20">
                  <c:v>1.1826690205214845</c:v>
                </c:pt>
                <c:pt idx="21">
                  <c:v>1.1653788496681483</c:v>
                </c:pt>
                <c:pt idx="22">
                  <c:v>1.1492780385597525</c:v>
                </c:pt>
                <c:pt idx="23">
                  <c:v>1.1342347690827055</c:v>
                </c:pt>
                <c:pt idx="24">
                  <c:v>1.1201367831609588</c:v>
                </c:pt>
                <c:pt idx="25">
                  <c:v>1.1068878123706849</c:v>
                </c:pt>
                <c:pt idx="26">
                  <c:v>1.0944047710922722</c:v>
                </c:pt>
                <c:pt idx="27">
                  <c:v>1.0826155278589313</c:v>
                </c:pt>
                <c:pt idx="28">
                  <c:v>1.0714571195105191</c:v>
                </c:pt>
                <c:pt idx="29">
                  <c:v>1.0608743080061498</c:v>
                </c:pt>
                <c:pt idx="30">
                  <c:v>1.0508184049604399</c:v>
                </c:pt>
                <c:pt idx="31">
                  <c:v>1.0412463072300679</c:v>
                </c:pt>
                <c:pt idx="32">
                  <c:v>1.0321197002614879</c:v>
                </c:pt>
                <c:pt idx="33">
                  <c:v>1.0234043958265606</c:v>
                </c:pt>
                <c:pt idx="34">
                  <c:v>1.0150697781943769</c:v>
                </c:pt>
                <c:pt idx="35">
                  <c:v>1.0070883383950024</c:v>
                </c:pt>
                <c:pt idx="36">
                  <c:v>0.99943528050521113</c:v>
                </c:pt>
                <c:pt idx="37">
                  <c:v>0.99208818717190095</c:v>
                </c:pt>
                <c:pt idx="38">
                  <c:v>0.9850267341343556</c:v>
                </c:pt>
                <c:pt idx="39">
                  <c:v>0.97823244549294697</c:v>
                </c:pt>
                <c:pt idx="40">
                  <c:v>0.97168848303320521</c:v>
                </c:pt>
                <c:pt idx="41">
                  <c:v>0.96537946414921982</c:v>
                </c:pt>
                <c:pt idx="42">
                  <c:v>0.95929130389354833</c:v>
                </c:pt>
                <c:pt idx="43">
                  <c:v>0.95341107746817555</c:v>
                </c:pt>
                <c:pt idx="44">
                  <c:v>0.94772690010497573</c:v>
                </c:pt>
                <c:pt idx="45">
                  <c:v>0.94222782179752052</c:v>
                </c:pt>
                <c:pt idx="46">
                  <c:v>0.93690373476371791</c:v>
                </c:pt>
                <c:pt idx="47">
                  <c:v>0.93174529186026833</c:v>
                </c:pt>
                <c:pt idx="48">
                  <c:v>0.9267438344505311</c:v>
                </c:pt>
                <c:pt idx="49">
                  <c:v>0.92189132845883792</c:v>
                </c:pt>
                <c:pt idx="50">
                  <c:v>0.91718030753609303</c:v>
                </c:pt>
                <c:pt idx="51">
                  <c:v>0.91260382242112925</c:v>
                </c:pt>
                <c:pt idx="52">
                  <c:v>0.90815539571546988</c:v>
                </c:pt>
                <c:pt idx="53">
                  <c:v>0.90382898140098133</c:v>
                </c:pt>
                <c:pt idx="54">
                  <c:v>0.89961892852378289</c:v>
                </c:pt>
                <c:pt idx="55">
                  <c:v>0.89551994854720551</c:v>
                </c:pt>
                <c:pt idx="56">
                  <c:v>0.89152708594375563</c:v>
                </c:pt>
                <c:pt idx="57">
                  <c:v>0.88763569165312906</c:v>
                </c:pt>
                <c:pt idx="58">
                  <c:v>0.88384139908200066</c:v>
                </c:pt>
                <c:pt idx="59">
                  <c:v>0.88014010236291251</c:v>
                </c:pt>
                <c:pt idx="60">
                  <c:v>0.87652793662519324</c:v>
                </c:pt>
                <c:pt idx="61">
                  <c:v>0.87300126006153267</c:v>
                </c:pt>
                <c:pt idx="62">
                  <c:v>0.86955663760020974</c:v>
                </c:pt>
                <c:pt idx="63">
                  <c:v>0.86619082601579744</c:v>
                </c:pt>
                <c:pt idx="64">
                  <c:v>0.86290076033095386</c:v>
                </c:pt>
                <c:pt idx="65">
                  <c:v>0.85968354137899894</c:v>
                </c:pt>
                <c:pt idx="66">
                  <c:v>0.85653642441198119</c:v>
                </c:pt>
                <c:pt idx="67">
                  <c:v>0.85345680865189733</c:v>
                </c:pt>
                <c:pt idx="68">
                  <c:v>0.85044222769416178</c:v>
                </c:pt>
                <c:pt idx="69">
                  <c:v>0.84749034068232587</c:v>
                </c:pt>
                <c:pt idx="70">
                  <c:v>0.84459892418185789</c:v>
                </c:pt>
                <c:pt idx="71">
                  <c:v>0.84176586468841841</c:v>
                </c:pt>
                <c:pt idx="72">
                  <c:v>0.83898915171293131</c:v>
                </c:pt>
                <c:pt idx="73">
                  <c:v>0.83626687139162525</c:v>
                </c:pt>
                <c:pt idx="74">
                  <c:v>0.83359720057458875</c:v>
                </c:pt>
                <c:pt idx="75">
                  <c:v>0.83097840135104717</c:v>
                </c:pt>
                <c:pt idx="76">
                  <c:v>0.8284088159737073</c:v>
                </c:pt>
                <c:pt idx="77">
                  <c:v>0.82588686214822193</c:v>
                </c:pt>
                <c:pt idx="78">
                  <c:v>0.82341102865713334</c:v>
                </c:pt>
                <c:pt idx="79">
                  <c:v>0.82097987129055094</c:v>
                </c:pt>
                <c:pt idx="80">
                  <c:v>0.81859200905847518</c:v>
                </c:pt>
                <c:pt idx="81">
                  <c:v>0.81624612066198354</c:v>
                </c:pt>
                <c:pt idx="82">
                  <c:v>0.81394094120262961</c:v>
                </c:pt>
                <c:pt idx="83">
                  <c:v>0.81167525911126226</c:v>
                </c:pt>
                <c:pt idx="84">
                  <c:v>0.80944791327917009</c:v>
                </c:pt>
                <c:pt idx="85">
                  <c:v>0.80725779037596124</c:v>
                </c:pt>
                <c:pt idx="86">
                  <c:v>0.80510382233999167</c:v>
                </c:pt>
                <c:pt idx="87">
                  <c:v>0.80298498402834984</c:v>
                </c:pt>
                <c:pt idx="88">
                  <c:v>0.80090029101453408</c:v>
                </c:pt>
                <c:pt idx="89">
                  <c:v>0.79884879752297933</c:v>
                </c:pt>
                <c:pt idx="90">
                  <c:v>0.79682959449048241</c:v>
                </c:pt>
                <c:pt idx="91">
                  <c:v>0.79484180774538626</c:v>
                </c:pt>
                <c:pt idx="92">
                  <c:v>0.79288459629618979</c:v>
                </c:pt>
                <c:pt idx="93">
                  <c:v>0.7909571507218579</c:v>
                </c:pt>
                <c:pt idx="94">
                  <c:v>0.78905869165677178</c:v>
                </c:pt>
                <c:pt idx="95">
                  <c:v>0.78718846836379786</c:v>
                </c:pt>
                <c:pt idx="96">
                  <c:v>0.78534575738948664</c:v>
                </c:pt>
                <c:pt idx="97">
                  <c:v>0.78352986129585955</c:v>
                </c:pt>
                <c:pt idx="98">
                  <c:v>0.78174010746367917</c:v>
                </c:pt>
                <c:pt idx="99">
                  <c:v>0.77997584696247513</c:v>
                </c:pt>
                <c:pt idx="100">
                  <c:v>0.7782364534829721</c:v>
                </c:pt>
                <c:pt idx="101">
                  <c:v>0.77652132232789717</c:v>
                </c:pt>
                <c:pt idx="102">
                  <c:v>0.77482986945738608</c:v>
                </c:pt>
                <c:pt idx="103">
                  <c:v>0.77316153058556936</c:v>
                </c:pt>
                <c:pt idx="104">
                  <c:v>0.77151576032510005</c:v>
                </c:pt>
                <c:pt idx="105">
                  <c:v>0.76989203137664897</c:v>
                </c:pt>
                <c:pt idx="106">
                  <c:v>0.76828983376058546</c:v>
                </c:pt>
                <c:pt idx="107">
                  <c:v>0.76670867408829235</c:v>
                </c:pt>
                <c:pt idx="108">
                  <c:v>0.76514807487069192</c:v>
                </c:pt>
                <c:pt idx="109">
                  <c:v>0.76360757386177547</c:v>
                </c:pt>
                <c:pt idx="110">
                  <c:v>0.76208672343504147</c:v>
                </c:pt>
                <c:pt idx="111">
                  <c:v>0.76058508999092855</c:v>
                </c:pt>
                <c:pt idx="112">
                  <c:v>0.75910225339341042</c:v>
                </c:pt>
                <c:pt idx="113">
                  <c:v>0.75763780643409018</c:v>
                </c:pt>
                <c:pt idx="114">
                  <c:v>0.75619135432221629</c:v>
                </c:pt>
                <c:pt idx="115">
                  <c:v>0.7547625141991301</c:v>
                </c:pt>
                <c:pt idx="116">
                  <c:v>0.75335091467580095</c:v>
                </c:pt>
                <c:pt idx="117">
                  <c:v>0.75195619539214176</c:v>
                </c:pt>
                <c:pt idx="118">
                  <c:v>0.75057800659689744</c:v>
                </c:pt>
                <c:pt idx="119">
                  <c:v>0.74921600874699668</c:v>
                </c:pt>
                <c:pt idx="120">
                  <c:v>0.74786987212529732</c:v>
                </c:pt>
                <c:pt idx="121">
                  <c:v>0.74653927647572649</c:v>
                </c:pt>
                <c:pt idx="122">
                  <c:v>0.74522391065490612</c:v>
                </c:pt>
                <c:pt idx="123">
                  <c:v>0.74392347229937383</c:v>
                </c:pt>
                <c:pt idx="124">
                  <c:v>0.74263766750757632</c:v>
                </c:pt>
                <c:pt idx="125">
                  <c:v>0.74136621053589191</c:v>
                </c:pt>
                <c:pt idx="126">
                  <c:v>0.74010882350790874</c:v>
                </c:pt>
                <c:pt idx="127">
                  <c:v>0.73886523613633526</c:v>
                </c:pt>
                <c:pt idx="128">
                  <c:v>0.73763518545684748</c:v>
                </c:pt>
                <c:pt idx="129">
                  <c:v>0.73641841557330789</c:v>
                </c:pt>
                <c:pt idx="130">
                  <c:v>0.73521467741376278</c:v>
                </c:pt>
                <c:pt idx="131">
                  <c:v>0.73402372849669262</c:v>
                </c:pt>
                <c:pt idx="132">
                  <c:v>0.73284533270701124</c:v>
                </c:pt>
                <c:pt idx="133">
                  <c:v>0.73167926008132333</c:v>
                </c:pt>
                <c:pt idx="134">
                  <c:v>0.73052528660200999</c:v>
                </c:pt>
                <c:pt idx="135">
                  <c:v>0.72938319399969165</c:v>
                </c:pt>
                <c:pt idx="136">
                  <c:v>0.72825276956369256</c:v>
                </c:pt>
                <c:pt idx="137">
                  <c:v>0.72713380596011046</c:v>
                </c:pt>
                <c:pt idx="138">
                  <c:v>0.72602610105712961</c:v>
                </c:pt>
                <c:pt idx="139">
                  <c:v>0.72492945775726125</c:v>
                </c:pt>
                <c:pt idx="140">
                  <c:v>0.7238436838361525</c:v>
                </c:pt>
                <c:pt idx="141">
                  <c:v>0.72276859178769581</c:v>
                </c:pt>
                <c:pt idx="142">
                  <c:v>0.7217039986751318</c:v>
                </c:pt>
                <c:pt idx="143">
                  <c:v>0.72064972598786814</c:v>
                </c:pt>
                <c:pt idx="144">
                  <c:v>0.71960559950377567</c:v>
                </c:pt>
                <c:pt idx="145">
                  <c:v>0.71857144915669136</c:v>
                </c:pt>
                <c:pt idx="146">
                  <c:v>0.7175471089089217</c:v>
                </c:pt>
                <c:pt idx="147">
                  <c:v>0.71653241662850031</c:v>
                </c:pt>
                <c:pt idx="148">
                  <c:v>0.71552721397100794</c:v>
                </c:pt>
                <c:pt idx="149">
                  <c:v>0.71453134626575254</c:v>
                </c:pt>
                <c:pt idx="150">
                  <c:v>0.71354466240611047</c:v>
                </c:pt>
                <c:pt idx="151">
                  <c:v>0.71256701474386552</c:v>
                </c:pt>
                <c:pt idx="152">
                  <c:v>0.71159825898735829</c:v>
                </c:pt>
                <c:pt idx="153">
                  <c:v>0.71063825410329629</c:v>
                </c:pt>
                <c:pt idx="154">
                  <c:v>0.70968686222206112</c:v>
                </c:pt>
                <c:pt idx="155">
                  <c:v>0.70874394854638134</c:v>
                </c:pt>
                <c:pt idx="156">
                  <c:v>0.70780938126320236</c:v>
                </c:pt>
                <c:pt idx="157">
                  <c:v>0.70688303145865305</c:v>
                </c:pt>
                <c:pt idx="158">
                  <c:v>0.70596477303595928</c:v>
                </c:pt>
                <c:pt idx="159">
                  <c:v>0.70505448263619275</c:v>
                </c:pt>
                <c:pt idx="160">
                  <c:v>0.70415203956174333</c:v>
                </c:pt>
                <c:pt idx="161">
                  <c:v>0.70325732570239285</c:v>
                </c:pt>
                <c:pt idx="162">
                  <c:v>0.70237022546389227</c:v>
                </c:pt>
                <c:pt idx="163">
                  <c:v>0.70149062569895926</c:v>
                </c:pt>
                <c:pt idx="164">
                  <c:v>0.7006184156405586</c:v>
                </c:pt>
                <c:pt idx="165">
                  <c:v>0.69975348683742478</c:v>
                </c:pt>
                <c:pt idx="166">
                  <c:v>0.69889573309170572</c:v>
                </c:pt>
                <c:pt idx="167">
                  <c:v>0.69804505039864728</c:v>
                </c:pt>
                <c:pt idx="168">
                  <c:v>0.69720133688826358</c:v>
                </c:pt>
                <c:pt idx="169">
                  <c:v>0.69636449276888479</c:v>
                </c:pt>
                <c:pt idx="170">
                  <c:v>0.69553442027253887</c:v>
                </c:pt>
                <c:pt idx="171">
                  <c:v>0.69471102360207382</c:v>
                </c:pt>
                <c:pt idx="172">
                  <c:v>0.69389420887997599</c:v>
                </c:pt>
                <c:pt idx="173">
                  <c:v>0.69308388409879862</c:v>
                </c:pt>
                <c:pt idx="174">
                  <c:v>0.69227995907316398</c:v>
                </c:pt>
                <c:pt idx="175">
                  <c:v>0.69148234539326681</c:v>
                </c:pt>
                <c:pt idx="176">
                  <c:v>0.69069095637981415</c:v>
                </c:pt>
                <c:pt idx="177">
                  <c:v>0.68990570704038212</c:v>
                </c:pt>
                <c:pt idx="178">
                  <c:v>0.68912651402709413</c:v>
                </c:pt>
                <c:pt idx="179">
                  <c:v>0.6883532955956092</c:v>
                </c:pt>
                <c:pt idx="180">
                  <c:v>0.68758597156535572</c:v>
                </c:pt>
                <c:pt idx="181">
                  <c:v>0.68682446328096936</c:v>
                </c:pt>
                <c:pt idx="182">
                  <c:v>0.68606869357488331</c:v>
                </c:pt>
                <c:pt idx="183">
                  <c:v>0.68531858673105872</c:v>
                </c:pt>
                <c:pt idx="184">
                  <c:v>0.68457406844976842</c:v>
                </c:pt>
                <c:pt idx="185">
                  <c:v>0.68383506581344933</c:v>
                </c:pt>
                <c:pt idx="186">
                  <c:v>0.68310150725354135</c:v>
                </c:pt>
                <c:pt idx="187">
                  <c:v>0.68237332251830884</c:v>
                </c:pt>
                <c:pt idx="188">
                  <c:v>0.68165044264159225</c:v>
                </c:pt>
                <c:pt idx="189">
                  <c:v>0.68093279991247291</c:v>
                </c:pt>
                <c:pt idx="190">
                  <c:v>0.68022032784580144</c:v>
                </c:pt>
                <c:pt idx="191">
                  <c:v>0.67951296115358661</c:v>
                </c:pt>
                <c:pt idx="192">
                  <c:v>0.67881063571718026</c:v>
                </c:pt>
                <c:pt idx="193">
                  <c:v>0.67811328856027142</c:v>
                </c:pt>
                <c:pt idx="194">
                  <c:v>0.67742085782262862</c:v>
                </c:pt>
                <c:pt idx="195">
                  <c:v>0.67673328273458278</c:v>
                </c:pt>
                <c:pt idx="196">
                  <c:v>0.67605050359222596</c:v>
                </c:pt>
                <c:pt idx="197">
                  <c:v>0.67537246173329779</c:v>
                </c:pt>
                <c:pt idx="198">
                  <c:v>0.67469909951373663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8741504"/>
        <c:axId val="378743424"/>
      </c:scatterChart>
      <c:valAx>
        <c:axId val="378741504"/>
        <c:scaling>
          <c:logBase val="10"/>
          <c:orientation val="minMax"/>
          <c:max val="100000"/>
          <c:min val="1"/>
        </c:scaling>
        <c:delete val="0"/>
        <c:axPos val="b"/>
        <c:majorGridlines>
          <c:spPr>
            <a:ln w="3175">
              <a:solidFill>
                <a:srgbClr val="333333"/>
              </a:solidFill>
              <a:prstDash val="solid"/>
            </a:ln>
          </c:spPr>
        </c:majorGridlines>
        <c:minorGridlines>
          <c:spPr>
            <a:ln w="3175">
              <a:solidFill>
                <a:srgbClr val="333333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  <a:cs typeface="等线"/>
                  </a:defRPr>
                </a:pP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电流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 (A)</a:t>
                </a:r>
                <a:endParaRPr lang="zh-CN" altLang="en-US" sz="1125" b="0" i="0" u="none" strike="noStrike" baseline="0">
                  <a:solidFill>
                    <a:srgbClr val="000000"/>
                  </a:solidFill>
                  <a:latin typeface="BatangChe"/>
                </a:endParaRPr>
              </a:p>
            </c:rich>
          </c:tx>
          <c:layout>
            <c:manualLayout>
              <c:xMode val="edge"/>
              <c:yMode val="edge"/>
              <c:x val="0.48780490438695251"/>
              <c:y val="0.9599781346886497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in"/>
        <c:tickLblPos val="low"/>
        <c:spPr>
          <a:ln w="3175">
            <a:solidFill>
              <a:srgbClr val="333333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BatangChe"/>
                <a:ea typeface="BatangChe"/>
                <a:cs typeface="BatangChe"/>
              </a:defRPr>
            </a:pPr>
            <a:endParaRPr lang="zh-CN"/>
          </a:p>
        </c:txPr>
        <c:crossAx val="378743424"/>
        <c:crossesAt val="1"/>
        <c:crossBetween val="midCat"/>
      </c:valAx>
      <c:valAx>
        <c:axId val="378743424"/>
        <c:scaling>
          <c:logBase val="10"/>
          <c:orientation val="minMax"/>
          <c:max val="100"/>
          <c:min val="1.0000000000000005E-2"/>
        </c:scaling>
        <c:delete val="0"/>
        <c:axPos val="l"/>
        <c:majorGridlines>
          <c:spPr>
            <a:ln w="3175">
              <a:solidFill>
                <a:srgbClr val="333333"/>
              </a:solidFill>
              <a:prstDash val="solid"/>
            </a:ln>
          </c:spPr>
        </c:majorGridlines>
        <c:minorGridlines>
          <c:spPr>
            <a:ln w="3175">
              <a:solidFill>
                <a:srgbClr val="333333"/>
              </a:solidFill>
              <a:prstDash val="solid"/>
            </a:ln>
          </c:spPr>
        </c:minorGridlines>
        <c:title>
          <c:tx>
            <c:rich>
              <a:bodyPr rot="540000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  <a:cs typeface="等线"/>
                  </a:defRPr>
                </a:pP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时间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(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秒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)</a:t>
                </a:r>
                <a:endParaRPr lang="zh-CN" altLang="en-US" sz="1125" b="0" i="0" u="none" strike="noStrike" baseline="0">
                  <a:solidFill>
                    <a:srgbClr val="000000"/>
                  </a:solidFill>
                  <a:latin typeface="BatangChe"/>
                </a:endParaRPr>
              </a:p>
            </c:rich>
          </c:tx>
          <c:layout>
            <c:manualLayout>
              <c:xMode val="edge"/>
              <c:yMode val="edge"/>
              <c:x val="4.3553355830521275E-3"/>
              <c:y val="0.46608815392511582"/>
            </c:manualLayout>
          </c:layout>
          <c:overlay val="0"/>
          <c:spPr>
            <a:noFill/>
            <a:ln w="25400">
              <a:noFill/>
            </a:ln>
          </c:spPr>
        </c:title>
        <c:numFmt formatCode="0.000_ " sourceLinked="0"/>
        <c:majorTickMark val="out"/>
        <c:minorTickMark val="in"/>
        <c:tickLblPos val="nextTo"/>
        <c:spPr>
          <a:ln w="3175">
            <a:solidFill>
              <a:srgbClr val="333333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BatangChe"/>
                <a:ea typeface="BatangChe"/>
                <a:cs typeface="BatangChe"/>
              </a:defRPr>
            </a:pPr>
            <a:endParaRPr lang="zh-CN"/>
          </a:p>
        </c:txPr>
        <c:crossAx val="378741504"/>
        <c:crossesAt val="0.1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新細明體"/>
          <a:ea typeface="新細明體"/>
          <a:cs typeface="新細明體"/>
        </a:defRPr>
      </a:pPr>
      <a:endParaRPr lang="zh-CN"/>
    </a:p>
  </c:txPr>
  <c:printSettings>
    <c:headerFooter alignWithMargins="0">
      <c:oddHeader>&amp;A</c:oddHeader>
      <c:oddFooter>Page &amp;P</c:oddFooter>
    </c:headerFooter>
    <c:pageMargins b="1" l="0.75000000000000089" r="0.75000000000000089" t="1" header="0.5" footer="0.5"/>
    <c:pageSetup paperSize="9" orientation="portrait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83972125435695E-2"/>
          <c:y val="2.4447949526813988E-2"/>
          <c:w val="0.88327526132404177"/>
          <c:h val="0.9266561514195587"/>
        </c:manualLayout>
      </c:layout>
      <c:scatterChart>
        <c:scatterStyle val="lineMarker"/>
        <c:varyColors val="0"/>
        <c:ser>
          <c:idx val="12"/>
          <c:order val="0"/>
          <c:tx>
            <c:strRef>
              <c:f>协调曲线图!$D$85</c:f>
              <c:strCache>
                <c:ptCount val="1"/>
                <c:pt idx="0">
                  <c:v>--------------------6kvC1变馈线</c:v>
                </c:pt>
              </c:strCache>
            </c:strRef>
          </c:tx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0395479915115351E-2"/>
                  <c:y val="-0.1783777922359573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曲線Lever計算!$D$8:$D$207</c:f>
              <c:numCache>
                <c:formatCode>General</c:formatCode>
                <c:ptCount val="200"/>
                <c:pt idx="0">
                  <c:v>38.4</c:v>
                </c:pt>
                <c:pt idx="1">
                  <c:v>64</c:v>
                </c:pt>
                <c:pt idx="2">
                  <c:v>96</c:v>
                </c:pt>
                <c:pt idx="3">
                  <c:v>128</c:v>
                </c:pt>
                <c:pt idx="4">
                  <c:v>160</c:v>
                </c:pt>
                <c:pt idx="5">
                  <c:v>192</c:v>
                </c:pt>
                <c:pt idx="6">
                  <c:v>224</c:v>
                </c:pt>
                <c:pt idx="7">
                  <c:v>256</c:v>
                </c:pt>
                <c:pt idx="8">
                  <c:v>288</c:v>
                </c:pt>
                <c:pt idx="9">
                  <c:v>320</c:v>
                </c:pt>
                <c:pt idx="10">
                  <c:v>352</c:v>
                </c:pt>
                <c:pt idx="11">
                  <c:v>384</c:v>
                </c:pt>
                <c:pt idx="12">
                  <c:v>416</c:v>
                </c:pt>
                <c:pt idx="13">
                  <c:v>448</c:v>
                </c:pt>
                <c:pt idx="14">
                  <c:v>480</c:v>
                </c:pt>
                <c:pt idx="15">
                  <c:v>512</c:v>
                </c:pt>
                <c:pt idx="16">
                  <c:v>544</c:v>
                </c:pt>
                <c:pt idx="17">
                  <c:v>576</c:v>
                </c:pt>
                <c:pt idx="18">
                  <c:v>608</c:v>
                </c:pt>
                <c:pt idx="19">
                  <c:v>640</c:v>
                </c:pt>
                <c:pt idx="20">
                  <c:v>672</c:v>
                </c:pt>
                <c:pt idx="21">
                  <c:v>704</c:v>
                </c:pt>
                <c:pt idx="22">
                  <c:v>736</c:v>
                </c:pt>
                <c:pt idx="23">
                  <c:v>768</c:v>
                </c:pt>
                <c:pt idx="24">
                  <c:v>800</c:v>
                </c:pt>
                <c:pt idx="25">
                  <c:v>832</c:v>
                </c:pt>
                <c:pt idx="26">
                  <c:v>864</c:v>
                </c:pt>
                <c:pt idx="27">
                  <c:v>896</c:v>
                </c:pt>
                <c:pt idx="28">
                  <c:v>928</c:v>
                </c:pt>
                <c:pt idx="29">
                  <c:v>960</c:v>
                </c:pt>
                <c:pt idx="30">
                  <c:v>992</c:v>
                </c:pt>
                <c:pt idx="31">
                  <c:v>1024</c:v>
                </c:pt>
                <c:pt idx="32">
                  <c:v>1050</c:v>
                </c:pt>
                <c:pt idx="33">
                  <c:v>1050</c:v>
                </c:pt>
                <c:pt idx="34">
                  <c:v>1050</c:v>
                </c:pt>
                <c:pt idx="35">
                  <c:v>1050</c:v>
                </c:pt>
                <c:pt idx="36">
                  <c:v>1050</c:v>
                </c:pt>
                <c:pt idx="37">
                  <c:v>1050</c:v>
                </c:pt>
                <c:pt idx="38">
                  <c:v>1050</c:v>
                </c:pt>
                <c:pt idx="39">
                  <c:v>1050</c:v>
                </c:pt>
                <c:pt idx="40">
                  <c:v>1050</c:v>
                </c:pt>
                <c:pt idx="41">
                  <c:v>1050</c:v>
                </c:pt>
                <c:pt idx="42">
                  <c:v>1050</c:v>
                </c:pt>
                <c:pt idx="43">
                  <c:v>1050</c:v>
                </c:pt>
                <c:pt idx="44">
                  <c:v>1050</c:v>
                </c:pt>
                <c:pt idx="45">
                  <c:v>1050</c:v>
                </c:pt>
                <c:pt idx="46">
                  <c:v>1050</c:v>
                </c:pt>
                <c:pt idx="47">
                  <c:v>1050</c:v>
                </c:pt>
                <c:pt idx="48">
                  <c:v>1050</c:v>
                </c:pt>
                <c:pt idx="49">
                  <c:v>1050</c:v>
                </c:pt>
                <c:pt idx="50">
                  <c:v>1050</c:v>
                </c:pt>
                <c:pt idx="51">
                  <c:v>1050</c:v>
                </c:pt>
                <c:pt idx="52">
                  <c:v>1050</c:v>
                </c:pt>
                <c:pt idx="53">
                  <c:v>1050</c:v>
                </c:pt>
                <c:pt idx="54">
                  <c:v>1050</c:v>
                </c:pt>
                <c:pt idx="55">
                  <c:v>1050</c:v>
                </c:pt>
                <c:pt idx="56">
                  <c:v>1050</c:v>
                </c:pt>
                <c:pt idx="57">
                  <c:v>1050</c:v>
                </c:pt>
                <c:pt idx="58">
                  <c:v>1050</c:v>
                </c:pt>
                <c:pt idx="59">
                  <c:v>1050</c:v>
                </c:pt>
                <c:pt idx="60">
                  <c:v>1050</c:v>
                </c:pt>
                <c:pt idx="61">
                  <c:v>1050</c:v>
                </c:pt>
                <c:pt idx="62">
                  <c:v>1050</c:v>
                </c:pt>
                <c:pt idx="63">
                  <c:v>1050</c:v>
                </c:pt>
                <c:pt idx="64">
                  <c:v>1050</c:v>
                </c:pt>
                <c:pt idx="65">
                  <c:v>1050</c:v>
                </c:pt>
                <c:pt idx="66">
                  <c:v>1050</c:v>
                </c:pt>
                <c:pt idx="67">
                  <c:v>1050</c:v>
                </c:pt>
                <c:pt idx="68">
                  <c:v>1050</c:v>
                </c:pt>
                <c:pt idx="69">
                  <c:v>1050</c:v>
                </c:pt>
                <c:pt idx="70">
                  <c:v>1050</c:v>
                </c:pt>
                <c:pt idx="71">
                  <c:v>1050</c:v>
                </c:pt>
                <c:pt idx="72">
                  <c:v>1050</c:v>
                </c:pt>
                <c:pt idx="73">
                  <c:v>1050</c:v>
                </c:pt>
                <c:pt idx="74">
                  <c:v>1050</c:v>
                </c:pt>
                <c:pt idx="75">
                  <c:v>1050</c:v>
                </c:pt>
                <c:pt idx="76">
                  <c:v>1050</c:v>
                </c:pt>
                <c:pt idx="77">
                  <c:v>1050</c:v>
                </c:pt>
                <c:pt idx="78">
                  <c:v>1050</c:v>
                </c:pt>
                <c:pt idx="79">
                  <c:v>1050</c:v>
                </c:pt>
                <c:pt idx="80">
                  <c:v>1050</c:v>
                </c:pt>
                <c:pt idx="81">
                  <c:v>1050</c:v>
                </c:pt>
                <c:pt idx="82">
                  <c:v>1050</c:v>
                </c:pt>
                <c:pt idx="83">
                  <c:v>1050</c:v>
                </c:pt>
                <c:pt idx="84">
                  <c:v>1050</c:v>
                </c:pt>
                <c:pt idx="85">
                  <c:v>1050</c:v>
                </c:pt>
                <c:pt idx="86">
                  <c:v>1050</c:v>
                </c:pt>
                <c:pt idx="87">
                  <c:v>1050</c:v>
                </c:pt>
                <c:pt idx="88">
                  <c:v>1050</c:v>
                </c:pt>
                <c:pt idx="89">
                  <c:v>1050</c:v>
                </c:pt>
                <c:pt idx="90">
                  <c:v>1050</c:v>
                </c:pt>
                <c:pt idx="91">
                  <c:v>1050</c:v>
                </c:pt>
                <c:pt idx="92">
                  <c:v>1050</c:v>
                </c:pt>
                <c:pt idx="93">
                  <c:v>1050</c:v>
                </c:pt>
                <c:pt idx="94">
                  <c:v>1050</c:v>
                </c:pt>
                <c:pt idx="95">
                  <c:v>1050</c:v>
                </c:pt>
                <c:pt idx="96">
                  <c:v>1050</c:v>
                </c:pt>
                <c:pt idx="97">
                  <c:v>1050</c:v>
                </c:pt>
                <c:pt idx="98">
                  <c:v>1050</c:v>
                </c:pt>
                <c:pt idx="99">
                  <c:v>1050</c:v>
                </c:pt>
                <c:pt idx="100">
                  <c:v>1050</c:v>
                </c:pt>
                <c:pt idx="101">
                  <c:v>1050</c:v>
                </c:pt>
                <c:pt idx="102">
                  <c:v>1050</c:v>
                </c:pt>
                <c:pt idx="103">
                  <c:v>1050</c:v>
                </c:pt>
                <c:pt idx="104">
                  <c:v>1050</c:v>
                </c:pt>
                <c:pt idx="105">
                  <c:v>1050</c:v>
                </c:pt>
                <c:pt idx="106">
                  <c:v>1050</c:v>
                </c:pt>
                <c:pt idx="107">
                  <c:v>1050</c:v>
                </c:pt>
                <c:pt idx="108">
                  <c:v>1050</c:v>
                </c:pt>
                <c:pt idx="109">
                  <c:v>1050</c:v>
                </c:pt>
                <c:pt idx="110">
                  <c:v>1050</c:v>
                </c:pt>
                <c:pt idx="111">
                  <c:v>1050</c:v>
                </c:pt>
                <c:pt idx="112">
                  <c:v>1050</c:v>
                </c:pt>
                <c:pt idx="113">
                  <c:v>1050</c:v>
                </c:pt>
                <c:pt idx="114">
                  <c:v>1050</c:v>
                </c:pt>
                <c:pt idx="115">
                  <c:v>1050</c:v>
                </c:pt>
                <c:pt idx="116">
                  <c:v>1050</c:v>
                </c:pt>
                <c:pt idx="117">
                  <c:v>1050</c:v>
                </c:pt>
                <c:pt idx="118">
                  <c:v>1050</c:v>
                </c:pt>
                <c:pt idx="119">
                  <c:v>1050</c:v>
                </c:pt>
                <c:pt idx="120">
                  <c:v>1050</c:v>
                </c:pt>
                <c:pt idx="121">
                  <c:v>1050</c:v>
                </c:pt>
                <c:pt idx="122">
                  <c:v>1050</c:v>
                </c:pt>
                <c:pt idx="123">
                  <c:v>1050</c:v>
                </c:pt>
                <c:pt idx="124">
                  <c:v>1050</c:v>
                </c:pt>
                <c:pt idx="125">
                  <c:v>1050</c:v>
                </c:pt>
                <c:pt idx="126">
                  <c:v>1050</c:v>
                </c:pt>
                <c:pt idx="127">
                  <c:v>1050</c:v>
                </c:pt>
                <c:pt idx="128">
                  <c:v>1050</c:v>
                </c:pt>
                <c:pt idx="129">
                  <c:v>1050</c:v>
                </c:pt>
                <c:pt idx="130">
                  <c:v>1050</c:v>
                </c:pt>
                <c:pt idx="131">
                  <c:v>1050</c:v>
                </c:pt>
                <c:pt idx="132">
                  <c:v>1050</c:v>
                </c:pt>
                <c:pt idx="133">
                  <c:v>1050</c:v>
                </c:pt>
                <c:pt idx="134">
                  <c:v>1050</c:v>
                </c:pt>
                <c:pt idx="135">
                  <c:v>1050</c:v>
                </c:pt>
                <c:pt idx="136">
                  <c:v>1050</c:v>
                </c:pt>
                <c:pt idx="137">
                  <c:v>1050</c:v>
                </c:pt>
                <c:pt idx="138">
                  <c:v>1050</c:v>
                </c:pt>
                <c:pt idx="139">
                  <c:v>1050</c:v>
                </c:pt>
                <c:pt idx="140">
                  <c:v>1050</c:v>
                </c:pt>
                <c:pt idx="141">
                  <c:v>1050</c:v>
                </c:pt>
                <c:pt idx="142">
                  <c:v>1050</c:v>
                </c:pt>
                <c:pt idx="143">
                  <c:v>1050</c:v>
                </c:pt>
                <c:pt idx="144">
                  <c:v>1050</c:v>
                </c:pt>
                <c:pt idx="145">
                  <c:v>1050</c:v>
                </c:pt>
                <c:pt idx="146">
                  <c:v>1050</c:v>
                </c:pt>
                <c:pt idx="147">
                  <c:v>1050</c:v>
                </c:pt>
                <c:pt idx="148">
                  <c:v>1050</c:v>
                </c:pt>
                <c:pt idx="149">
                  <c:v>1050</c:v>
                </c:pt>
                <c:pt idx="150">
                  <c:v>1050</c:v>
                </c:pt>
                <c:pt idx="151">
                  <c:v>1050</c:v>
                </c:pt>
                <c:pt idx="152">
                  <c:v>1050</c:v>
                </c:pt>
                <c:pt idx="153">
                  <c:v>1050</c:v>
                </c:pt>
                <c:pt idx="154">
                  <c:v>1050</c:v>
                </c:pt>
                <c:pt idx="155">
                  <c:v>1050</c:v>
                </c:pt>
                <c:pt idx="156">
                  <c:v>1050</c:v>
                </c:pt>
                <c:pt idx="157">
                  <c:v>1050</c:v>
                </c:pt>
                <c:pt idx="158">
                  <c:v>1050</c:v>
                </c:pt>
                <c:pt idx="159">
                  <c:v>1050</c:v>
                </c:pt>
                <c:pt idx="160">
                  <c:v>1050</c:v>
                </c:pt>
                <c:pt idx="161">
                  <c:v>1050</c:v>
                </c:pt>
                <c:pt idx="162">
                  <c:v>1050</c:v>
                </c:pt>
                <c:pt idx="163">
                  <c:v>1050</c:v>
                </c:pt>
                <c:pt idx="164">
                  <c:v>1050</c:v>
                </c:pt>
                <c:pt idx="165">
                  <c:v>1050</c:v>
                </c:pt>
                <c:pt idx="166">
                  <c:v>1050</c:v>
                </c:pt>
                <c:pt idx="167">
                  <c:v>1050</c:v>
                </c:pt>
                <c:pt idx="168">
                  <c:v>1050</c:v>
                </c:pt>
                <c:pt idx="169">
                  <c:v>1050</c:v>
                </c:pt>
                <c:pt idx="170">
                  <c:v>1050</c:v>
                </c:pt>
                <c:pt idx="171">
                  <c:v>1050</c:v>
                </c:pt>
                <c:pt idx="172">
                  <c:v>1050</c:v>
                </c:pt>
                <c:pt idx="173">
                  <c:v>1050</c:v>
                </c:pt>
                <c:pt idx="174">
                  <c:v>1050</c:v>
                </c:pt>
                <c:pt idx="175">
                  <c:v>1050</c:v>
                </c:pt>
                <c:pt idx="176">
                  <c:v>1050</c:v>
                </c:pt>
                <c:pt idx="177">
                  <c:v>1050</c:v>
                </c:pt>
                <c:pt idx="178">
                  <c:v>1050</c:v>
                </c:pt>
                <c:pt idx="179">
                  <c:v>1050</c:v>
                </c:pt>
                <c:pt idx="180">
                  <c:v>1050</c:v>
                </c:pt>
                <c:pt idx="181">
                  <c:v>1050</c:v>
                </c:pt>
                <c:pt idx="182">
                  <c:v>1050</c:v>
                </c:pt>
                <c:pt idx="183">
                  <c:v>1050</c:v>
                </c:pt>
                <c:pt idx="184">
                  <c:v>1050</c:v>
                </c:pt>
                <c:pt idx="185">
                  <c:v>1050</c:v>
                </c:pt>
                <c:pt idx="186">
                  <c:v>1050</c:v>
                </c:pt>
                <c:pt idx="187">
                  <c:v>1050</c:v>
                </c:pt>
                <c:pt idx="188">
                  <c:v>1050</c:v>
                </c:pt>
                <c:pt idx="189">
                  <c:v>1050</c:v>
                </c:pt>
                <c:pt idx="190">
                  <c:v>1050</c:v>
                </c:pt>
                <c:pt idx="191">
                  <c:v>1050</c:v>
                </c:pt>
                <c:pt idx="192">
                  <c:v>1050</c:v>
                </c:pt>
                <c:pt idx="193">
                  <c:v>1050</c:v>
                </c:pt>
                <c:pt idx="194">
                  <c:v>1050</c:v>
                </c:pt>
                <c:pt idx="195">
                  <c:v>1050</c:v>
                </c:pt>
                <c:pt idx="196">
                  <c:v>1050</c:v>
                </c:pt>
                <c:pt idx="197">
                  <c:v>1050</c:v>
                </c:pt>
                <c:pt idx="198">
                  <c:v>1050</c:v>
                </c:pt>
                <c:pt idx="199">
                  <c:v>6400</c:v>
                </c:pt>
              </c:numCache>
            </c:numRef>
          </c:xVal>
          <c:yVal>
            <c:numRef>
              <c:f>曲線Lever計算!$B$8:$B$207</c:f>
              <c:numCache>
                <c:formatCode>General</c:formatCode>
                <c:ptCount val="200"/>
                <c:pt idx="0">
                  <c:v>1.2903618577749472</c:v>
                </c:pt>
                <c:pt idx="1">
                  <c:v>0.33767767744265559</c:v>
                </c:pt>
                <c:pt idx="2">
                  <c:v>0.21218622650480146</c:v>
                </c:pt>
                <c:pt idx="3">
                  <c:v>0.16766855581317835</c:v>
                </c:pt>
                <c:pt idx="4">
                  <c:v>0.14409831888704963</c:v>
                </c:pt>
                <c:pt idx="5">
                  <c:v>0.12919839912863662</c:v>
                </c:pt>
                <c:pt idx="6">
                  <c:v>0.11877920642519486</c:v>
                </c:pt>
                <c:pt idx="7">
                  <c:v>0.11100247871315978</c:v>
                </c:pt>
                <c:pt idx="8">
                  <c:v>0.10492760816257429</c:v>
                </c:pt>
                <c:pt idx="9">
                  <c:v>0.10002015569657964</c:v>
                </c:pt>
                <c:pt idx="10">
                  <c:v>9.5952398229643535E-2</c:v>
                </c:pt>
                <c:pt idx="11">
                  <c:v>9.2511347419459405E-2</c:v>
                </c:pt>
                <c:pt idx="12">
                  <c:v>8.9552093558736084E-2</c:v>
                </c:pt>
                <c:pt idx="13">
                  <c:v>8.6972324016294983E-2</c:v>
                </c:pt>
                <c:pt idx="14">
                  <c:v>8.4697557541135338E-2</c:v>
                </c:pt>
                <c:pt idx="15">
                  <c:v>8.2672162483912001E-2</c:v>
                </c:pt>
                <c:pt idx="16">
                  <c:v>8.0853667164728957E-2</c:v>
                </c:pt>
                <c:pt idx="17">
                  <c:v>7.9209029506611517E-2</c:v>
                </c:pt>
                <c:pt idx="18">
                  <c:v>7.771211782227111E-2</c:v>
                </c:pt>
                <c:pt idx="19">
                  <c:v>7.6341965227173889E-2</c:v>
                </c:pt>
                <c:pt idx="20">
                  <c:v>7.5081532523441102E-2</c:v>
                </c:pt>
                <c:pt idx="21">
                  <c:v>7.391681378259278E-2</c:v>
                </c:pt>
                <c:pt idx="22">
                  <c:v>7.2836178104259269E-2</c:v>
                </c:pt>
                <c:pt idx="23">
                  <c:v>7.1829877409984533E-2</c:v>
                </c:pt>
                <c:pt idx="24">
                  <c:v>7.0889673067669093E-2</c:v>
                </c:pt>
                <c:pt idx="25">
                  <c:v>7.0008548947559923E-2</c:v>
                </c:pt>
                <c:pt idx="26">
                  <c:v>6.9180488273167806E-2</c:v>
                </c:pt>
                <c:pt idx="27">
                  <c:v>6.8400298193267012E-2</c:v>
                </c:pt>
                <c:pt idx="28">
                  <c:v>6.7663470491183209E-2</c:v>
                </c:pt>
                <c:pt idx="29">
                  <c:v>6.6966069969407446E-2</c:v>
                </c:pt>
                <c:pt idx="30">
                  <c:v>6.6304644250384362E-2</c:v>
                </c:pt>
                <c:pt idx="31">
                  <c:v>6.5676150310027492E-2</c:v>
                </c:pt>
                <c:pt idx="32">
                  <c:v>6.5077894201879247E-2</c:v>
                </c:pt>
                <c:pt idx="33">
                  <c:v>6.4507481266342995E-2</c:v>
                </c:pt>
                <c:pt idx="34">
                  <c:v>6.3962774739160039E-2</c:v>
                </c:pt>
                <c:pt idx="35">
                  <c:v>6.3441861137148559E-2</c:v>
                </c:pt>
                <c:pt idx="36">
                  <c:v>6.2943021149687653E-2</c:v>
                </c:pt>
                <c:pt idx="37">
                  <c:v>6.2464705031575696E-2</c:v>
                </c:pt>
                <c:pt idx="38">
                  <c:v>6.2005511698243809E-2</c:v>
                </c:pt>
                <c:pt idx="39">
                  <c:v>6.1564170883397225E-2</c:v>
                </c:pt>
                <c:pt idx="40">
                  <c:v>6.1139527843309185E-2</c:v>
                </c:pt>
                <c:pt idx="41">
                  <c:v>6.0730530189575326E-2</c:v>
                </c:pt>
                <c:pt idx="42">
                  <c:v>6.0336216509326239E-2</c:v>
                </c:pt>
                <c:pt idx="43">
                  <c:v>5.9955706493346771E-2</c:v>
                </c:pt>
                <c:pt idx="44">
                  <c:v>5.9588192341760972E-2</c:v>
                </c:pt>
                <c:pt idx="45">
                  <c:v>5.9232931256560983E-2</c:v>
                </c:pt>
                <c:pt idx="46">
                  <c:v>5.8889238862345032E-2</c:v>
                </c:pt>
                <c:pt idx="47">
                  <c:v>5.8556483422732369E-2</c:v>
                </c:pt>
                <c:pt idx="48">
                  <c:v>5.8234080741266771E-2</c:v>
                </c:pt>
                <c:pt idx="49">
                  <c:v>5.7921489653158194E-2</c:v>
                </c:pt>
                <c:pt idx="50">
                  <c:v>5.761820802867737E-2</c:v>
                </c:pt>
                <c:pt idx="51">
                  <c:v>5.7323769221005814E-2</c:v>
                </c:pt>
                <c:pt idx="52">
                  <c:v>5.7037738901320578E-2</c:v>
                </c:pt>
                <c:pt idx="53">
                  <c:v>5.6759712232216868E-2</c:v>
                </c:pt>
                <c:pt idx="54">
                  <c:v>5.6489311337561333E-2</c:v>
                </c:pt>
                <c:pt idx="55">
                  <c:v>5.6226183032736431E-2</c:v>
                </c:pt>
                <c:pt idx="56">
                  <c:v>5.5969996784200345E-2</c:v>
                </c:pt>
                <c:pt idx="57">
                  <c:v>5.5720442871484727E-2</c:v>
                </c:pt>
                <c:pt idx="58">
                  <c:v>5.5477230728320566E-2</c:v>
                </c:pt>
                <c:pt idx="59">
                  <c:v>5.5240087442625041E-2</c:v>
                </c:pt>
                <c:pt idx="60">
                  <c:v>5.5008756397682032E-2</c:v>
                </c:pt>
                <c:pt idx="61">
                  <c:v>5.4782996039074577E-2</c:v>
                </c:pt>
                <c:pt idx="62">
                  <c:v>5.4562578753845792E-2</c:v>
                </c:pt>
                <c:pt idx="63">
                  <c:v>5.4347289850013109E-2</c:v>
                </c:pt>
                <c:pt idx="64">
                  <c:v>5.413692662598734E-2</c:v>
                </c:pt>
                <c:pt idx="65">
                  <c:v>5.3931297520684617E-2</c:v>
                </c:pt>
                <c:pt idx="66">
                  <c:v>5.3730221336187434E-2</c:v>
                </c:pt>
                <c:pt idx="67">
                  <c:v>5.3533526525748824E-2</c:v>
                </c:pt>
                <c:pt idx="68">
                  <c:v>5.3341050540743583E-2</c:v>
                </c:pt>
                <c:pt idx="69">
                  <c:v>5.3152639230885111E-2</c:v>
                </c:pt>
                <c:pt idx="70">
                  <c:v>5.2968146292645367E-2</c:v>
                </c:pt>
                <c:pt idx="71">
                  <c:v>5.2787432761366118E-2</c:v>
                </c:pt>
                <c:pt idx="72">
                  <c:v>5.2610366543026151E-2</c:v>
                </c:pt>
                <c:pt idx="73">
                  <c:v>5.2436821982058207E-2</c:v>
                </c:pt>
                <c:pt idx="74">
                  <c:v>5.2266679461976578E-2</c:v>
                </c:pt>
                <c:pt idx="75">
                  <c:v>5.2099825035911797E-2</c:v>
                </c:pt>
                <c:pt idx="76">
                  <c:v>5.1936150084440448E-2</c:v>
                </c:pt>
                <c:pt idx="77">
                  <c:v>5.1775550998356706E-2</c:v>
                </c:pt>
                <c:pt idx="78">
                  <c:v>5.1617928884263871E-2</c:v>
                </c:pt>
                <c:pt idx="79">
                  <c:v>5.1463189291070834E-2</c:v>
                </c:pt>
                <c:pt idx="80">
                  <c:v>5.1311241955659434E-2</c:v>
                </c:pt>
                <c:pt idx="81">
                  <c:v>5.1162000566154699E-2</c:v>
                </c:pt>
                <c:pt idx="82">
                  <c:v>5.1015382541373971E-2</c:v>
                </c:pt>
                <c:pt idx="83">
                  <c:v>5.0871308825164351E-2</c:v>
                </c:pt>
                <c:pt idx="84">
                  <c:v>5.0729703694453891E-2</c:v>
                </c:pt>
                <c:pt idx="85">
                  <c:v>5.0590494579948131E-2</c:v>
                </c:pt>
                <c:pt idx="86">
                  <c:v>5.0453611898497577E-2</c:v>
                </c:pt>
                <c:pt idx="87">
                  <c:v>5.0318988896249479E-2</c:v>
                </c:pt>
                <c:pt idx="88">
                  <c:v>5.0186561501771865E-2</c:v>
                </c:pt>
                <c:pt idx="89">
                  <c:v>5.005626818840838E-2</c:v>
                </c:pt>
                <c:pt idx="90">
                  <c:v>0.05</c:v>
                </c:pt>
                <c:pt idx="91">
                  <c:v>0.05</c:v>
                </c:pt>
                <c:pt idx="92">
                  <c:v>0.05</c:v>
                </c:pt>
                <c:pt idx="93">
                  <c:v>0.05</c:v>
                </c:pt>
                <c:pt idx="94">
                  <c:v>0.05</c:v>
                </c:pt>
                <c:pt idx="95">
                  <c:v>0.05</c:v>
                </c:pt>
                <c:pt idx="96">
                  <c:v>0.05</c:v>
                </c:pt>
                <c:pt idx="97">
                  <c:v>0.05</c:v>
                </c:pt>
                <c:pt idx="98">
                  <c:v>0.05</c:v>
                </c:pt>
                <c:pt idx="99">
                  <c:v>0.05</c:v>
                </c:pt>
                <c:pt idx="100">
                  <c:v>0.05</c:v>
                </c:pt>
                <c:pt idx="101">
                  <c:v>0.05</c:v>
                </c:pt>
                <c:pt idx="102">
                  <c:v>0.05</c:v>
                </c:pt>
                <c:pt idx="103">
                  <c:v>0.05</c:v>
                </c:pt>
                <c:pt idx="104">
                  <c:v>0.05</c:v>
                </c:pt>
                <c:pt idx="105">
                  <c:v>0.05</c:v>
                </c:pt>
                <c:pt idx="106">
                  <c:v>0.05</c:v>
                </c:pt>
                <c:pt idx="107">
                  <c:v>0.05</c:v>
                </c:pt>
                <c:pt idx="108">
                  <c:v>0.05</c:v>
                </c:pt>
                <c:pt idx="109">
                  <c:v>0.05</c:v>
                </c:pt>
                <c:pt idx="110">
                  <c:v>0.05</c:v>
                </c:pt>
                <c:pt idx="111">
                  <c:v>0.05</c:v>
                </c:pt>
                <c:pt idx="112">
                  <c:v>0.05</c:v>
                </c:pt>
                <c:pt idx="113">
                  <c:v>0.05</c:v>
                </c:pt>
                <c:pt idx="114">
                  <c:v>0.05</c:v>
                </c:pt>
                <c:pt idx="115">
                  <c:v>0.05</c:v>
                </c:pt>
                <c:pt idx="116">
                  <c:v>0.05</c:v>
                </c:pt>
                <c:pt idx="117">
                  <c:v>0.05</c:v>
                </c:pt>
                <c:pt idx="118">
                  <c:v>0.05</c:v>
                </c:pt>
                <c:pt idx="119">
                  <c:v>0.05</c:v>
                </c:pt>
                <c:pt idx="120">
                  <c:v>0.05</c:v>
                </c:pt>
                <c:pt idx="121">
                  <c:v>0.05</c:v>
                </c:pt>
                <c:pt idx="122">
                  <c:v>0.05</c:v>
                </c:pt>
                <c:pt idx="123">
                  <c:v>0.05</c:v>
                </c:pt>
                <c:pt idx="124">
                  <c:v>0.05</c:v>
                </c:pt>
                <c:pt idx="125">
                  <c:v>0.05</c:v>
                </c:pt>
                <c:pt idx="126">
                  <c:v>0.05</c:v>
                </c:pt>
                <c:pt idx="127">
                  <c:v>0.05</c:v>
                </c:pt>
                <c:pt idx="128">
                  <c:v>0.05</c:v>
                </c:pt>
                <c:pt idx="129">
                  <c:v>0.05</c:v>
                </c:pt>
                <c:pt idx="130">
                  <c:v>0.05</c:v>
                </c:pt>
                <c:pt idx="131">
                  <c:v>0.05</c:v>
                </c:pt>
                <c:pt idx="132">
                  <c:v>0.05</c:v>
                </c:pt>
                <c:pt idx="133">
                  <c:v>0.05</c:v>
                </c:pt>
                <c:pt idx="134">
                  <c:v>0.05</c:v>
                </c:pt>
                <c:pt idx="135">
                  <c:v>0.05</c:v>
                </c:pt>
                <c:pt idx="136">
                  <c:v>0.05</c:v>
                </c:pt>
                <c:pt idx="137">
                  <c:v>0.05</c:v>
                </c:pt>
                <c:pt idx="138">
                  <c:v>0.05</c:v>
                </c:pt>
                <c:pt idx="139">
                  <c:v>0.05</c:v>
                </c:pt>
                <c:pt idx="140">
                  <c:v>0.05</c:v>
                </c:pt>
                <c:pt idx="141">
                  <c:v>0.05</c:v>
                </c:pt>
                <c:pt idx="142">
                  <c:v>0.05</c:v>
                </c:pt>
                <c:pt idx="143">
                  <c:v>0.05</c:v>
                </c:pt>
                <c:pt idx="144">
                  <c:v>0.05</c:v>
                </c:pt>
                <c:pt idx="145">
                  <c:v>0.05</c:v>
                </c:pt>
                <c:pt idx="146">
                  <c:v>0.05</c:v>
                </c:pt>
                <c:pt idx="147">
                  <c:v>0.05</c:v>
                </c:pt>
                <c:pt idx="148">
                  <c:v>0.05</c:v>
                </c:pt>
                <c:pt idx="149">
                  <c:v>0.05</c:v>
                </c:pt>
                <c:pt idx="150">
                  <c:v>0.05</c:v>
                </c:pt>
                <c:pt idx="151">
                  <c:v>0.05</c:v>
                </c:pt>
                <c:pt idx="152">
                  <c:v>0.05</c:v>
                </c:pt>
                <c:pt idx="153">
                  <c:v>0.05</c:v>
                </c:pt>
                <c:pt idx="154">
                  <c:v>0.05</c:v>
                </c:pt>
                <c:pt idx="155">
                  <c:v>0.05</c:v>
                </c:pt>
                <c:pt idx="156">
                  <c:v>0.05</c:v>
                </c:pt>
                <c:pt idx="157">
                  <c:v>0.05</c:v>
                </c:pt>
                <c:pt idx="158">
                  <c:v>0.05</c:v>
                </c:pt>
                <c:pt idx="159">
                  <c:v>0.05</c:v>
                </c:pt>
                <c:pt idx="160">
                  <c:v>0.05</c:v>
                </c:pt>
                <c:pt idx="161">
                  <c:v>0.05</c:v>
                </c:pt>
                <c:pt idx="162">
                  <c:v>0.05</c:v>
                </c:pt>
                <c:pt idx="163">
                  <c:v>0.05</c:v>
                </c:pt>
                <c:pt idx="164">
                  <c:v>0.05</c:v>
                </c:pt>
                <c:pt idx="165">
                  <c:v>0.05</c:v>
                </c:pt>
                <c:pt idx="166">
                  <c:v>0.05</c:v>
                </c:pt>
                <c:pt idx="167">
                  <c:v>0.05</c:v>
                </c:pt>
                <c:pt idx="168">
                  <c:v>0.05</c:v>
                </c:pt>
                <c:pt idx="169">
                  <c:v>0.05</c:v>
                </c:pt>
                <c:pt idx="170">
                  <c:v>0.05</c:v>
                </c:pt>
                <c:pt idx="171">
                  <c:v>0.05</c:v>
                </c:pt>
                <c:pt idx="172">
                  <c:v>0.05</c:v>
                </c:pt>
                <c:pt idx="173">
                  <c:v>0.05</c:v>
                </c:pt>
                <c:pt idx="174">
                  <c:v>0.05</c:v>
                </c:pt>
                <c:pt idx="175">
                  <c:v>0.05</c:v>
                </c:pt>
                <c:pt idx="176">
                  <c:v>0.05</c:v>
                </c:pt>
                <c:pt idx="177">
                  <c:v>0.05</c:v>
                </c:pt>
                <c:pt idx="178">
                  <c:v>0.05</c:v>
                </c:pt>
                <c:pt idx="179">
                  <c:v>0.05</c:v>
                </c:pt>
                <c:pt idx="180">
                  <c:v>0.05</c:v>
                </c:pt>
                <c:pt idx="181">
                  <c:v>0.05</c:v>
                </c:pt>
                <c:pt idx="182">
                  <c:v>0.05</c:v>
                </c:pt>
                <c:pt idx="183">
                  <c:v>0.05</c:v>
                </c:pt>
                <c:pt idx="184">
                  <c:v>0.05</c:v>
                </c:pt>
                <c:pt idx="185">
                  <c:v>0.05</c:v>
                </c:pt>
                <c:pt idx="186">
                  <c:v>0.05</c:v>
                </c:pt>
                <c:pt idx="187">
                  <c:v>0.05</c:v>
                </c:pt>
                <c:pt idx="188">
                  <c:v>0.05</c:v>
                </c:pt>
                <c:pt idx="189">
                  <c:v>0.05</c:v>
                </c:pt>
                <c:pt idx="190">
                  <c:v>0.05</c:v>
                </c:pt>
                <c:pt idx="191">
                  <c:v>0.05</c:v>
                </c:pt>
                <c:pt idx="192">
                  <c:v>0.05</c:v>
                </c:pt>
                <c:pt idx="193">
                  <c:v>0.05</c:v>
                </c:pt>
                <c:pt idx="194">
                  <c:v>0.05</c:v>
                </c:pt>
                <c:pt idx="195">
                  <c:v>0.05</c:v>
                </c:pt>
                <c:pt idx="196">
                  <c:v>0.05</c:v>
                </c:pt>
                <c:pt idx="197">
                  <c:v>0.05</c:v>
                </c:pt>
                <c:pt idx="198">
                  <c:v>0.05</c:v>
                </c:pt>
                <c:pt idx="199">
                  <c:v>0.05</c:v>
                </c:pt>
              </c:numCache>
            </c:numRef>
          </c:yVal>
          <c:smooth val="0"/>
        </c:ser>
        <c:ser>
          <c:idx val="13"/>
          <c:order val="1"/>
          <c:tx>
            <c:strRef>
              <c:f>协调曲线图!$D$86</c:f>
              <c:strCache>
                <c:ptCount val="1"/>
                <c:pt idx="0">
                  <c:v>--------------------6kvC1变母联</c:v>
                </c:pt>
              </c:strCache>
            </c:strRef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2.8534824132308362E-2"/>
                  <c:y val="-0.1461613532856214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曲線Lever計算!$I$8:$I$207</c:f>
              <c:numCache>
                <c:formatCode>General</c:formatCode>
                <c:ptCount val="200"/>
                <c:pt idx="0">
                  <c:v>72</c:v>
                </c:pt>
                <c:pt idx="1">
                  <c:v>120</c:v>
                </c:pt>
                <c:pt idx="2">
                  <c:v>180</c:v>
                </c:pt>
                <c:pt idx="3">
                  <c:v>240</c:v>
                </c:pt>
                <c:pt idx="4">
                  <c:v>300</c:v>
                </c:pt>
                <c:pt idx="5">
                  <c:v>360</c:v>
                </c:pt>
                <c:pt idx="6">
                  <c:v>420</c:v>
                </c:pt>
                <c:pt idx="7">
                  <c:v>480</c:v>
                </c:pt>
                <c:pt idx="8">
                  <c:v>540</c:v>
                </c:pt>
                <c:pt idx="9">
                  <c:v>600</c:v>
                </c:pt>
                <c:pt idx="10">
                  <c:v>660</c:v>
                </c:pt>
                <c:pt idx="11">
                  <c:v>720</c:v>
                </c:pt>
                <c:pt idx="12">
                  <c:v>780</c:v>
                </c:pt>
                <c:pt idx="13">
                  <c:v>840</c:v>
                </c:pt>
                <c:pt idx="14">
                  <c:v>900</c:v>
                </c:pt>
                <c:pt idx="15">
                  <c:v>960</c:v>
                </c:pt>
                <c:pt idx="16">
                  <c:v>1020</c:v>
                </c:pt>
                <c:pt idx="17">
                  <c:v>1080</c:v>
                </c:pt>
                <c:pt idx="18">
                  <c:v>1140</c:v>
                </c:pt>
                <c:pt idx="19">
                  <c:v>1200</c:v>
                </c:pt>
                <c:pt idx="20">
                  <c:v>1260</c:v>
                </c:pt>
                <c:pt idx="21">
                  <c:v>1320</c:v>
                </c:pt>
                <c:pt idx="22">
                  <c:v>1380</c:v>
                </c:pt>
                <c:pt idx="23">
                  <c:v>1440</c:v>
                </c:pt>
                <c:pt idx="24">
                  <c:v>1500</c:v>
                </c:pt>
                <c:pt idx="25">
                  <c:v>1500</c:v>
                </c:pt>
                <c:pt idx="26">
                  <c:v>1500</c:v>
                </c:pt>
                <c:pt idx="27">
                  <c:v>1500</c:v>
                </c:pt>
                <c:pt idx="28">
                  <c:v>1500</c:v>
                </c:pt>
                <c:pt idx="29">
                  <c:v>1500</c:v>
                </c:pt>
                <c:pt idx="30">
                  <c:v>1500</c:v>
                </c:pt>
                <c:pt idx="31">
                  <c:v>1500</c:v>
                </c:pt>
                <c:pt idx="32">
                  <c:v>1500</c:v>
                </c:pt>
                <c:pt idx="33">
                  <c:v>1500</c:v>
                </c:pt>
                <c:pt idx="34">
                  <c:v>1500</c:v>
                </c:pt>
                <c:pt idx="35">
                  <c:v>1500</c:v>
                </c:pt>
                <c:pt idx="36">
                  <c:v>1500</c:v>
                </c:pt>
                <c:pt idx="37">
                  <c:v>1500</c:v>
                </c:pt>
                <c:pt idx="38">
                  <c:v>1500</c:v>
                </c:pt>
                <c:pt idx="39">
                  <c:v>1500</c:v>
                </c:pt>
                <c:pt idx="40">
                  <c:v>1500</c:v>
                </c:pt>
                <c:pt idx="41">
                  <c:v>1500</c:v>
                </c:pt>
                <c:pt idx="42">
                  <c:v>1500</c:v>
                </c:pt>
                <c:pt idx="43">
                  <c:v>1500</c:v>
                </c:pt>
                <c:pt idx="44">
                  <c:v>1500</c:v>
                </c:pt>
                <c:pt idx="45">
                  <c:v>1500</c:v>
                </c:pt>
                <c:pt idx="46">
                  <c:v>1500</c:v>
                </c:pt>
                <c:pt idx="47">
                  <c:v>1500</c:v>
                </c:pt>
                <c:pt idx="48">
                  <c:v>1500</c:v>
                </c:pt>
                <c:pt idx="49">
                  <c:v>1500</c:v>
                </c:pt>
                <c:pt idx="50">
                  <c:v>1500</c:v>
                </c:pt>
                <c:pt idx="51">
                  <c:v>1500</c:v>
                </c:pt>
                <c:pt idx="52">
                  <c:v>1500</c:v>
                </c:pt>
                <c:pt idx="53">
                  <c:v>1500</c:v>
                </c:pt>
                <c:pt idx="54">
                  <c:v>1500</c:v>
                </c:pt>
                <c:pt idx="55">
                  <c:v>1500</c:v>
                </c:pt>
                <c:pt idx="56">
                  <c:v>1500</c:v>
                </c:pt>
                <c:pt idx="57">
                  <c:v>1500</c:v>
                </c:pt>
                <c:pt idx="58">
                  <c:v>1500</c:v>
                </c:pt>
                <c:pt idx="59">
                  <c:v>1500</c:v>
                </c:pt>
                <c:pt idx="60">
                  <c:v>1500</c:v>
                </c:pt>
                <c:pt idx="61">
                  <c:v>1500</c:v>
                </c:pt>
                <c:pt idx="62">
                  <c:v>1500</c:v>
                </c:pt>
                <c:pt idx="63">
                  <c:v>1500</c:v>
                </c:pt>
                <c:pt idx="64">
                  <c:v>1500</c:v>
                </c:pt>
                <c:pt idx="65">
                  <c:v>1500</c:v>
                </c:pt>
                <c:pt idx="66">
                  <c:v>1500</c:v>
                </c:pt>
                <c:pt idx="67">
                  <c:v>1500</c:v>
                </c:pt>
                <c:pt idx="68">
                  <c:v>1500</c:v>
                </c:pt>
                <c:pt idx="69">
                  <c:v>1500</c:v>
                </c:pt>
                <c:pt idx="70">
                  <c:v>1500</c:v>
                </c:pt>
                <c:pt idx="71">
                  <c:v>1500</c:v>
                </c:pt>
                <c:pt idx="72">
                  <c:v>1500</c:v>
                </c:pt>
                <c:pt idx="73">
                  <c:v>1500</c:v>
                </c:pt>
                <c:pt idx="74">
                  <c:v>1500</c:v>
                </c:pt>
                <c:pt idx="75">
                  <c:v>1500</c:v>
                </c:pt>
                <c:pt idx="76">
                  <c:v>1500</c:v>
                </c:pt>
                <c:pt idx="77">
                  <c:v>1500</c:v>
                </c:pt>
                <c:pt idx="78">
                  <c:v>1500</c:v>
                </c:pt>
                <c:pt idx="79">
                  <c:v>1500</c:v>
                </c:pt>
                <c:pt idx="80">
                  <c:v>1500</c:v>
                </c:pt>
                <c:pt idx="81">
                  <c:v>1500</c:v>
                </c:pt>
                <c:pt idx="82">
                  <c:v>1500</c:v>
                </c:pt>
                <c:pt idx="83">
                  <c:v>1500</c:v>
                </c:pt>
                <c:pt idx="84">
                  <c:v>1500</c:v>
                </c:pt>
                <c:pt idx="85">
                  <c:v>1500</c:v>
                </c:pt>
                <c:pt idx="86">
                  <c:v>1500</c:v>
                </c:pt>
                <c:pt idx="87">
                  <c:v>1500</c:v>
                </c:pt>
                <c:pt idx="88">
                  <c:v>1500</c:v>
                </c:pt>
                <c:pt idx="89">
                  <c:v>1500</c:v>
                </c:pt>
                <c:pt idx="90">
                  <c:v>1500</c:v>
                </c:pt>
                <c:pt idx="91">
                  <c:v>1500</c:v>
                </c:pt>
                <c:pt idx="92">
                  <c:v>1500</c:v>
                </c:pt>
                <c:pt idx="93">
                  <c:v>1500</c:v>
                </c:pt>
                <c:pt idx="94">
                  <c:v>1500</c:v>
                </c:pt>
                <c:pt idx="95">
                  <c:v>1500</c:v>
                </c:pt>
                <c:pt idx="96">
                  <c:v>1500</c:v>
                </c:pt>
                <c:pt idx="97">
                  <c:v>1500</c:v>
                </c:pt>
                <c:pt idx="98">
                  <c:v>1500</c:v>
                </c:pt>
                <c:pt idx="99">
                  <c:v>1500</c:v>
                </c:pt>
                <c:pt idx="100">
                  <c:v>1500</c:v>
                </c:pt>
                <c:pt idx="101">
                  <c:v>1500</c:v>
                </c:pt>
                <c:pt idx="102">
                  <c:v>1500</c:v>
                </c:pt>
                <c:pt idx="103">
                  <c:v>1500</c:v>
                </c:pt>
                <c:pt idx="104">
                  <c:v>1500</c:v>
                </c:pt>
                <c:pt idx="105">
                  <c:v>1500</c:v>
                </c:pt>
                <c:pt idx="106">
                  <c:v>1500</c:v>
                </c:pt>
                <c:pt idx="107">
                  <c:v>1500</c:v>
                </c:pt>
                <c:pt idx="108">
                  <c:v>1500</c:v>
                </c:pt>
                <c:pt idx="109">
                  <c:v>1500</c:v>
                </c:pt>
                <c:pt idx="110">
                  <c:v>1500</c:v>
                </c:pt>
                <c:pt idx="111">
                  <c:v>1500</c:v>
                </c:pt>
                <c:pt idx="112">
                  <c:v>1500</c:v>
                </c:pt>
                <c:pt idx="113">
                  <c:v>1500</c:v>
                </c:pt>
                <c:pt idx="114">
                  <c:v>1500</c:v>
                </c:pt>
                <c:pt idx="115">
                  <c:v>1500</c:v>
                </c:pt>
                <c:pt idx="116">
                  <c:v>1500</c:v>
                </c:pt>
                <c:pt idx="117">
                  <c:v>1500</c:v>
                </c:pt>
                <c:pt idx="118">
                  <c:v>1500</c:v>
                </c:pt>
                <c:pt idx="119">
                  <c:v>1500</c:v>
                </c:pt>
                <c:pt idx="120">
                  <c:v>1500</c:v>
                </c:pt>
                <c:pt idx="121">
                  <c:v>1500</c:v>
                </c:pt>
                <c:pt idx="122">
                  <c:v>1500</c:v>
                </c:pt>
                <c:pt idx="123">
                  <c:v>1500</c:v>
                </c:pt>
                <c:pt idx="124">
                  <c:v>1500</c:v>
                </c:pt>
                <c:pt idx="125">
                  <c:v>1500</c:v>
                </c:pt>
                <c:pt idx="126">
                  <c:v>1500</c:v>
                </c:pt>
                <c:pt idx="127">
                  <c:v>1500</c:v>
                </c:pt>
                <c:pt idx="128">
                  <c:v>1500</c:v>
                </c:pt>
                <c:pt idx="129">
                  <c:v>1500</c:v>
                </c:pt>
                <c:pt idx="130">
                  <c:v>1500</c:v>
                </c:pt>
                <c:pt idx="131">
                  <c:v>1500</c:v>
                </c:pt>
                <c:pt idx="132">
                  <c:v>1500</c:v>
                </c:pt>
                <c:pt idx="133">
                  <c:v>1500</c:v>
                </c:pt>
                <c:pt idx="134">
                  <c:v>1500</c:v>
                </c:pt>
                <c:pt idx="135">
                  <c:v>1500</c:v>
                </c:pt>
                <c:pt idx="136">
                  <c:v>1500</c:v>
                </c:pt>
                <c:pt idx="137">
                  <c:v>1500</c:v>
                </c:pt>
                <c:pt idx="138">
                  <c:v>1500</c:v>
                </c:pt>
                <c:pt idx="139">
                  <c:v>1500</c:v>
                </c:pt>
                <c:pt idx="140">
                  <c:v>1500</c:v>
                </c:pt>
                <c:pt idx="141">
                  <c:v>1500</c:v>
                </c:pt>
                <c:pt idx="142">
                  <c:v>1500</c:v>
                </c:pt>
                <c:pt idx="143">
                  <c:v>1500</c:v>
                </c:pt>
                <c:pt idx="144">
                  <c:v>1500</c:v>
                </c:pt>
                <c:pt idx="145">
                  <c:v>1500</c:v>
                </c:pt>
                <c:pt idx="146">
                  <c:v>1500</c:v>
                </c:pt>
                <c:pt idx="147">
                  <c:v>1500</c:v>
                </c:pt>
                <c:pt idx="148">
                  <c:v>1500</c:v>
                </c:pt>
                <c:pt idx="149">
                  <c:v>1500</c:v>
                </c:pt>
                <c:pt idx="150">
                  <c:v>1500</c:v>
                </c:pt>
                <c:pt idx="151">
                  <c:v>1500</c:v>
                </c:pt>
                <c:pt idx="152">
                  <c:v>1500</c:v>
                </c:pt>
                <c:pt idx="153">
                  <c:v>1500</c:v>
                </c:pt>
                <c:pt idx="154">
                  <c:v>1500</c:v>
                </c:pt>
                <c:pt idx="155">
                  <c:v>1500</c:v>
                </c:pt>
                <c:pt idx="156">
                  <c:v>1500</c:v>
                </c:pt>
                <c:pt idx="157">
                  <c:v>1500</c:v>
                </c:pt>
                <c:pt idx="158">
                  <c:v>1500</c:v>
                </c:pt>
                <c:pt idx="159">
                  <c:v>1500</c:v>
                </c:pt>
                <c:pt idx="160">
                  <c:v>1500</c:v>
                </c:pt>
                <c:pt idx="161">
                  <c:v>1500</c:v>
                </c:pt>
                <c:pt idx="162">
                  <c:v>1500</c:v>
                </c:pt>
                <c:pt idx="163">
                  <c:v>1500</c:v>
                </c:pt>
                <c:pt idx="164">
                  <c:v>1500</c:v>
                </c:pt>
                <c:pt idx="165">
                  <c:v>1500</c:v>
                </c:pt>
                <c:pt idx="166">
                  <c:v>1500</c:v>
                </c:pt>
                <c:pt idx="167">
                  <c:v>1500</c:v>
                </c:pt>
                <c:pt idx="168">
                  <c:v>1500</c:v>
                </c:pt>
                <c:pt idx="169">
                  <c:v>1500</c:v>
                </c:pt>
                <c:pt idx="170">
                  <c:v>1500</c:v>
                </c:pt>
                <c:pt idx="171">
                  <c:v>1500</c:v>
                </c:pt>
                <c:pt idx="172">
                  <c:v>1500</c:v>
                </c:pt>
                <c:pt idx="173">
                  <c:v>1500</c:v>
                </c:pt>
                <c:pt idx="174">
                  <c:v>1500</c:v>
                </c:pt>
                <c:pt idx="175">
                  <c:v>1500</c:v>
                </c:pt>
                <c:pt idx="176">
                  <c:v>1500</c:v>
                </c:pt>
                <c:pt idx="177">
                  <c:v>1500</c:v>
                </c:pt>
                <c:pt idx="178">
                  <c:v>1500</c:v>
                </c:pt>
                <c:pt idx="179">
                  <c:v>1500</c:v>
                </c:pt>
                <c:pt idx="180">
                  <c:v>1500</c:v>
                </c:pt>
                <c:pt idx="181">
                  <c:v>1500</c:v>
                </c:pt>
                <c:pt idx="182">
                  <c:v>1500</c:v>
                </c:pt>
                <c:pt idx="183">
                  <c:v>1500</c:v>
                </c:pt>
                <c:pt idx="184">
                  <c:v>1500</c:v>
                </c:pt>
                <c:pt idx="185">
                  <c:v>1500</c:v>
                </c:pt>
                <c:pt idx="186">
                  <c:v>1500</c:v>
                </c:pt>
                <c:pt idx="187">
                  <c:v>1500</c:v>
                </c:pt>
                <c:pt idx="188">
                  <c:v>1500</c:v>
                </c:pt>
                <c:pt idx="189">
                  <c:v>1500</c:v>
                </c:pt>
                <c:pt idx="190">
                  <c:v>1500</c:v>
                </c:pt>
                <c:pt idx="191">
                  <c:v>1500</c:v>
                </c:pt>
                <c:pt idx="192">
                  <c:v>1500</c:v>
                </c:pt>
                <c:pt idx="193">
                  <c:v>1500</c:v>
                </c:pt>
                <c:pt idx="194">
                  <c:v>1500</c:v>
                </c:pt>
                <c:pt idx="195">
                  <c:v>1500</c:v>
                </c:pt>
                <c:pt idx="196">
                  <c:v>1500</c:v>
                </c:pt>
                <c:pt idx="197">
                  <c:v>1500</c:v>
                </c:pt>
                <c:pt idx="198">
                  <c:v>1500</c:v>
                </c:pt>
                <c:pt idx="199">
                  <c:v>12000</c:v>
                </c:pt>
              </c:numCache>
            </c:numRef>
          </c:xVal>
          <c:yVal>
            <c:numRef>
              <c:f>曲線Lever計算!$G$8:$G$207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0.41254125412541254</c:v>
                </c:pt>
                <c:pt idx="5">
                  <c:v>0.28288543140028288</c:v>
                </c:pt>
                <c:pt idx="6">
                  <c:v>0.25</c:v>
                </c:pt>
                <c:pt idx="7">
                  <c:v>0.25</c:v>
                </c:pt>
                <c:pt idx="8">
                  <c:v>0.25</c:v>
                </c:pt>
                <c:pt idx="9">
                  <c:v>0.25</c:v>
                </c:pt>
                <c:pt idx="10">
                  <c:v>0.25</c:v>
                </c:pt>
                <c:pt idx="11">
                  <c:v>0.25</c:v>
                </c:pt>
                <c:pt idx="12">
                  <c:v>0.25</c:v>
                </c:pt>
                <c:pt idx="13">
                  <c:v>0.25</c:v>
                </c:pt>
                <c:pt idx="14">
                  <c:v>0.25</c:v>
                </c:pt>
                <c:pt idx="15">
                  <c:v>0.25</c:v>
                </c:pt>
                <c:pt idx="16">
                  <c:v>0.25</c:v>
                </c:pt>
                <c:pt idx="17">
                  <c:v>0.25</c:v>
                </c:pt>
                <c:pt idx="18">
                  <c:v>0.25</c:v>
                </c:pt>
                <c:pt idx="19">
                  <c:v>0.25</c:v>
                </c:pt>
                <c:pt idx="20">
                  <c:v>0.25</c:v>
                </c:pt>
                <c:pt idx="21">
                  <c:v>0.25</c:v>
                </c:pt>
                <c:pt idx="22">
                  <c:v>0.25</c:v>
                </c:pt>
                <c:pt idx="23">
                  <c:v>0.25</c:v>
                </c:pt>
                <c:pt idx="24">
                  <c:v>0.25</c:v>
                </c:pt>
                <c:pt idx="25">
                  <c:v>0.25</c:v>
                </c:pt>
                <c:pt idx="26">
                  <c:v>0.25</c:v>
                </c:pt>
                <c:pt idx="27">
                  <c:v>0.25</c:v>
                </c:pt>
                <c:pt idx="28">
                  <c:v>0.25</c:v>
                </c:pt>
                <c:pt idx="29">
                  <c:v>0.25</c:v>
                </c:pt>
                <c:pt idx="30">
                  <c:v>0.25</c:v>
                </c:pt>
                <c:pt idx="31">
                  <c:v>0.25</c:v>
                </c:pt>
                <c:pt idx="32">
                  <c:v>0.25</c:v>
                </c:pt>
                <c:pt idx="33">
                  <c:v>0.25</c:v>
                </c:pt>
                <c:pt idx="34">
                  <c:v>0.25</c:v>
                </c:pt>
                <c:pt idx="35">
                  <c:v>0.25</c:v>
                </c:pt>
                <c:pt idx="36">
                  <c:v>0.25</c:v>
                </c:pt>
                <c:pt idx="37">
                  <c:v>0.25</c:v>
                </c:pt>
                <c:pt idx="38">
                  <c:v>0.25</c:v>
                </c:pt>
                <c:pt idx="39">
                  <c:v>0.25</c:v>
                </c:pt>
                <c:pt idx="40">
                  <c:v>0.25</c:v>
                </c:pt>
                <c:pt idx="41">
                  <c:v>0.25</c:v>
                </c:pt>
                <c:pt idx="42">
                  <c:v>0.25</c:v>
                </c:pt>
                <c:pt idx="43">
                  <c:v>0.25</c:v>
                </c:pt>
                <c:pt idx="44">
                  <c:v>0.25</c:v>
                </c:pt>
                <c:pt idx="45">
                  <c:v>0.25</c:v>
                </c:pt>
                <c:pt idx="46">
                  <c:v>0.25</c:v>
                </c:pt>
                <c:pt idx="47">
                  <c:v>0.25</c:v>
                </c:pt>
                <c:pt idx="48">
                  <c:v>0.25</c:v>
                </c:pt>
                <c:pt idx="49">
                  <c:v>0.25</c:v>
                </c:pt>
                <c:pt idx="50">
                  <c:v>0.25</c:v>
                </c:pt>
                <c:pt idx="51">
                  <c:v>0.25</c:v>
                </c:pt>
                <c:pt idx="52">
                  <c:v>0.25</c:v>
                </c:pt>
                <c:pt idx="53">
                  <c:v>0.25</c:v>
                </c:pt>
                <c:pt idx="54">
                  <c:v>0.25</c:v>
                </c:pt>
                <c:pt idx="55">
                  <c:v>0.25</c:v>
                </c:pt>
                <c:pt idx="56">
                  <c:v>0.25</c:v>
                </c:pt>
                <c:pt idx="57">
                  <c:v>0.25</c:v>
                </c:pt>
                <c:pt idx="58">
                  <c:v>0.25</c:v>
                </c:pt>
                <c:pt idx="59">
                  <c:v>0.25</c:v>
                </c:pt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0.25</c:v>
                </c:pt>
                <c:pt idx="65">
                  <c:v>0.25</c:v>
                </c:pt>
                <c:pt idx="66">
                  <c:v>0.25</c:v>
                </c:pt>
                <c:pt idx="67">
                  <c:v>0.25</c:v>
                </c:pt>
                <c:pt idx="68">
                  <c:v>0.25</c:v>
                </c:pt>
                <c:pt idx="69">
                  <c:v>0.25</c:v>
                </c:pt>
                <c:pt idx="70">
                  <c:v>0.25</c:v>
                </c:pt>
                <c:pt idx="71">
                  <c:v>0.25</c:v>
                </c:pt>
                <c:pt idx="72">
                  <c:v>0.25</c:v>
                </c:pt>
                <c:pt idx="73">
                  <c:v>0.25</c:v>
                </c:pt>
                <c:pt idx="74">
                  <c:v>0.25</c:v>
                </c:pt>
                <c:pt idx="75">
                  <c:v>0.25</c:v>
                </c:pt>
                <c:pt idx="76">
                  <c:v>0.25</c:v>
                </c:pt>
                <c:pt idx="77">
                  <c:v>0.25</c:v>
                </c:pt>
                <c:pt idx="78">
                  <c:v>0.25</c:v>
                </c:pt>
                <c:pt idx="79">
                  <c:v>0.25</c:v>
                </c:pt>
                <c:pt idx="80">
                  <c:v>0.25</c:v>
                </c:pt>
                <c:pt idx="81">
                  <c:v>0.25</c:v>
                </c:pt>
                <c:pt idx="82">
                  <c:v>0.25</c:v>
                </c:pt>
                <c:pt idx="83">
                  <c:v>0.25</c:v>
                </c:pt>
                <c:pt idx="84">
                  <c:v>0.25</c:v>
                </c:pt>
                <c:pt idx="85">
                  <c:v>0.25</c:v>
                </c:pt>
                <c:pt idx="86">
                  <c:v>0.25</c:v>
                </c:pt>
                <c:pt idx="87">
                  <c:v>0.25</c:v>
                </c:pt>
                <c:pt idx="88">
                  <c:v>0.25</c:v>
                </c:pt>
                <c:pt idx="89">
                  <c:v>0.25</c:v>
                </c:pt>
                <c:pt idx="90">
                  <c:v>0.25</c:v>
                </c:pt>
                <c:pt idx="91">
                  <c:v>0.25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  <c:pt idx="96">
                  <c:v>0.25</c:v>
                </c:pt>
                <c:pt idx="97">
                  <c:v>0.25</c:v>
                </c:pt>
                <c:pt idx="98">
                  <c:v>0.25</c:v>
                </c:pt>
                <c:pt idx="99">
                  <c:v>0.25</c:v>
                </c:pt>
                <c:pt idx="100">
                  <c:v>0.25</c:v>
                </c:pt>
                <c:pt idx="101">
                  <c:v>0.25</c:v>
                </c:pt>
                <c:pt idx="102">
                  <c:v>0.25</c:v>
                </c:pt>
                <c:pt idx="103">
                  <c:v>0.25</c:v>
                </c:pt>
                <c:pt idx="104">
                  <c:v>0.25</c:v>
                </c:pt>
                <c:pt idx="105">
                  <c:v>0.25</c:v>
                </c:pt>
                <c:pt idx="106">
                  <c:v>0.25</c:v>
                </c:pt>
                <c:pt idx="107">
                  <c:v>0.25</c:v>
                </c:pt>
                <c:pt idx="108">
                  <c:v>0.25</c:v>
                </c:pt>
                <c:pt idx="109">
                  <c:v>0.25</c:v>
                </c:pt>
                <c:pt idx="110">
                  <c:v>0.25</c:v>
                </c:pt>
                <c:pt idx="111">
                  <c:v>0.25</c:v>
                </c:pt>
                <c:pt idx="112">
                  <c:v>0.25</c:v>
                </c:pt>
                <c:pt idx="113">
                  <c:v>0.25</c:v>
                </c:pt>
                <c:pt idx="114">
                  <c:v>0.25</c:v>
                </c:pt>
                <c:pt idx="115">
                  <c:v>0.25</c:v>
                </c:pt>
                <c:pt idx="116">
                  <c:v>0.25</c:v>
                </c:pt>
                <c:pt idx="117">
                  <c:v>0.25</c:v>
                </c:pt>
                <c:pt idx="118">
                  <c:v>0.25</c:v>
                </c:pt>
                <c:pt idx="119">
                  <c:v>0.25</c:v>
                </c:pt>
                <c:pt idx="120">
                  <c:v>0.25</c:v>
                </c:pt>
                <c:pt idx="121">
                  <c:v>0.25</c:v>
                </c:pt>
                <c:pt idx="122">
                  <c:v>0.25</c:v>
                </c:pt>
                <c:pt idx="123">
                  <c:v>0.25</c:v>
                </c:pt>
                <c:pt idx="124">
                  <c:v>0.25</c:v>
                </c:pt>
                <c:pt idx="125">
                  <c:v>0.25</c:v>
                </c:pt>
                <c:pt idx="126">
                  <c:v>0.25</c:v>
                </c:pt>
                <c:pt idx="127">
                  <c:v>0.25</c:v>
                </c:pt>
                <c:pt idx="128">
                  <c:v>0.25</c:v>
                </c:pt>
                <c:pt idx="129">
                  <c:v>0.25</c:v>
                </c:pt>
                <c:pt idx="130">
                  <c:v>0.25</c:v>
                </c:pt>
                <c:pt idx="131">
                  <c:v>0.25</c:v>
                </c:pt>
                <c:pt idx="132">
                  <c:v>0.25</c:v>
                </c:pt>
                <c:pt idx="133">
                  <c:v>0.25</c:v>
                </c:pt>
                <c:pt idx="134">
                  <c:v>0.25</c:v>
                </c:pt>
                <c:pt idx="135">
                  <c:v>0.25</c:v>
                </c:pt>
                <c:pt idx="136">
                  <c:v>0.25</c:v>
                </c:pt>
                <c:pt idx="137">
                  <c:v>0.25</c:v>
                </c:pt>
                <c:pt idx="138">
                  <c:v>0.25</c:v>
                </c:pt>
                <c:pt idx="139">
                  <c:v>0.25</c:v>
                </c:pt>
                <c:pt idx="140">
                  <c:v>0.25</c:v>
                </c:pt>
                <c:pt idx="141">
                  <c:v>0.25</c:v>
                </c:pt>
                <c:pt idx="142">
                  <c:v>0.25</c:v>
                </c:pt>
                <c:pt idx="143">
                  <c:v>0.25</c:v>
                </c:pt>
                <c:pt idx="144">
                  <c:v>0.25</c:v>
                </c:pt>
                <c:pt idx="145">
                  <c:v>0.25</c:v>
                </c:pt>
                <c:pt idx="146">
                  <c:v>0.25</c:v>
                </c:pt>
                <c:pt idx="147">
                  <c:v>0.25</c:v>
                </c:pt>
                <c:pt idx="148">
                  <c:v>0.25</c:v>
                </c:pt>
                <c:pt idx="149">
                  <c:v>0.25</c:v>
                </c:pt>
                <c:pt idx="150">
                  <c:v>0.25</c:v>
                </c:pt>
                <c:pt idx="151">
                  <c:v>0.25</c:v>
                </c:pt>
                <c:pt idx="152">
                  <c:v>0.25</c:v>
                </c:pt>
                <c:pt idx="153">
                  <c:v>0.25</c:v>
                </c:pt>
                <c:pt idx="154">
                  <c:v>0.25</c:v>
                </c:pt>
                <c:pt idx="155">
                  <c:v>0.25</c:v>
                </c:pt>
                <c:pt idx="156">
                  <c:v>0.25</c:v>
                </c:pt>
                <c:pt idx="157">
                  <c:v>0.25</c:v>
                </c:pt>
                <c:pt idx="158">
                  <c:v>0.25</c:v>
                </c:pt>
                <c:pt idx="159">
                  <c:v>0.25</c:v>
                </c:pt>
                <c:pt idx="160">
                  <c:v>0.25</c:v>
                </c:pt>
                <c:pt idx="161">
                  <c:v>0.25</c:v>
                </c:pt>
                <c:pt idx="162">
                  <c:v>0.25</c:v>
                </c:pt>
                <c:pt idx="163">
                  <c:v>0.25</c:v>
                </c:pt>
                <c:pt idx="164">
                  <c:v>0.25</c:v>
                </c:pt>
                <c:pt idx="165">
                  <c:v>0.25</c:v>
                </c:pt>
                <c:pt idx="166">
                  <c:v>0.25</c:v>
                </c:pt>
                <c:pt idx="167">
                  <c:v>0.25</c:v>
                </c:pt>
                <c:pt idx="168">
                  <c:v>0.25</c:v>
                </c:pt>
                <c:pt idx="169">
                  <c:v>0.25</c:v>
                </c:pt>
                <c:pt idx="170">
                  <c:v>0.25</c:v>
                </c:pt>
                <c:pt idx="171">
                  <c:v>0.25</c:v>
                </c:pt>
                <c:pt idx="172">
                  <c:v>0.25</c:v>
                </c:pt>
                <c:pt idx="173">
                  <c:v>0.25</c:v>
                </c:pt>
                <c:pt idx="174">
                  <c:v>0.25</c:v>
                </c:pt>
                <c:pt idx="175">
                  <c:v>0.25</c:v>
                </c:pt>
                <c:pt idx="176">
                  <c:v>0.25</c:v>
                </c:pt>
                <c:pt idx="177">
                  <c:v>0.25</c:v>
                </c:pt>
                <c:pt idx="178">
                  <c:v>0.25</c:v>
                </c:pt>
                <c:pt idx="179">
                  <c:v>0.25</c:v>
                </c:pt>
                <c:pt idx="180">
                  <c:v>0.25</c:v>
                </c:pt>
                <c:pt idx="181">
                  <c:v>0.25</c:v>
                </c:pt>
                <c:pt idx="182">
                  <c:v>0.25</c:v>
                </c:pt>
                <c:pt idx="183">
                  <c:v>0.25</c:v>
                </c:pt>
                <c:pt idx="184">
                  <c:v>0.25</c:v>
                </c:pt>
                <c:pt idx="185">
                  <c:v>0.25</c:v>
                </c:pt>
                <c:pt idx="186">
                  <c:v>0.25</c:v>
                </c:pt>
                <c:pt idx="187">
                  <c:v>0.25</c:v>
                </c:pt>
                <c:pt idx="188">
                  <c:v>0.25</c:v>
                </c:pt>
                <c:pt idx="189">
                  <c:v>0.25</c:v>
                </c:pt>
                <c:pt idx="190">
                  <c:v>0.25</c:v>
                </c:pt>
                <c:pt idx="191">
                  <c:v>0.25</c:v>
                </c:pt>
                <c:pt idx="192">
                  <c:v>0.25</c:v>
                </c:pt>
                <c:pt idx="193">
                  <c:v>0.25</c:v>
                </c:pt>
                <c:pt idx="194">
                  <c:v>0.25</c:v>
                </c:pt>
                <c:pt idx="195">
                  <c:v>0.25</c:v>
                </c:pt>
                <c:pt idx="196">
                  <c:v>0.25</c:v>
                </c:pt>
                <c:pt idx="197">
                  <c:v>0.25</c:v>
                </c:pt>
                <c:pt idx="198">
                  <c:v>0.25</c:v>
                </c:pt>
                <c:pt idx="199">
                  <c:v>0.25</c:v>
                </c:pt>
              </c:numCache>
            </c:numRef>
          </c:yVal>
          <c:smooth val="0"/>
        </c:ser>
        <c:ser>
          <c:idx val="14"/>
          <c:order val="2"/>
          <c:tx>
            <c:strRef>
              <c:f>协调曲线图!$D$87</c:f>
              <c:strCache>
                <c:ptCount val="1"/>
                <c:pt idx="0">
                  <c:v>--------------------6kvC1变进线</c:v>
                </c:pt>
              </c:strCache>
            </c:strRef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2.8534824132308362E-2"/>
                  <c:y val="-0.1136304489264803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66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曲線Lever計算!$N$8:$N$207</c:f>
              <c:numCache>
                <c:formatCode>General</c:formatCode>
                <c:ptCount val="200"/>
                <c:pt idx="0">
                  <c:v>168</c:v>
                </c:pt>
                <c:pt idx="1">
                  <c:v>280</c:v>
                </c:pt>
                <c:pt idx="2">
                  <c:v>420</c:v>
                </c:pt>
                <c:pt idx="3">
                  <c:v>560</c:v>
                </c:pt>
                <c:pt idx="4">
                  <c:v>700</c:v>
                </c:pt>
                <c:pt idx="5">
                  <c:v>840</c:v>
                </c:pt>
                <c:pt idx="6">
                  <c:v>980</c:v>
                </c:pt>
                <c:pt idx="7">
                  <c:v>1120</c:v>
                </c:pt>
                <c:pt idx="8">
                  <c:v>1260</c:v>
                </c:pt>
                <c:pt idx="9">
                  <c:v>1400</c:v>
                </c:pt>
                <c:pt idx="10">
                  <c:v>1540</c:v>
                </c:pt>
                <c:pt idx="11">
                  <c:v>1680</c:v>
                </c:pt>
                <c:pt idx="12">
                  <c:v>1820</c:v>
                </c:pt>
                <c:pt idx="13">
                  <c:v>1960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2000</c:v>
                </c:pt>
                <c:pt idx="23">
                  <c:v>2000</c:v>
                </c:pt>
                <c:pt idx="24">
                  <c:v>2000</c:v>
                </c:pt>
                <c:pt idx="25">
                  <c:v>2000</c:v>
                </c:pt>
                <c:pt idx="26">
                  <c:v>2000</c:v>
                </c:pt>
                <c:pt idx="27">
                  <c:v>2000</c:v>
                </c:pt>
                <c:pt idx="28">
                  <c:v>2000</c:v>
                </c:pt>
                <c:pt idx="29">
                  <c:v>2000</c:v>
                </c:pt>
                <c:pt idx="30">
                  <c:v>2000</c:v>
                </c:pt>
                <c:pt idx="31">
                  <c:v>2000</c:v>
                </c:pt>
                <c:pt idx="32">
                  <c:v>2000</c:v>
                </c:pt>
                <c:pt idx="33">
                  <c:v>2000</c:v>
                </c:pt>
                <c:pt idx="34">
                  <c:v>2000</c:v>
                </c:pt>
                <c:pt idx="35">
                  <c:v>2000</c:v>
                </c:pt>
                <c:pt idx="36">
                  <c:v>2000</c:v>
                </c:pt>
                <c:pt idx="37">
                  <c:v>2000</c:v>
                </c:pt>
                <c:pt idx="38">
                  <c:v>2000</c:v>
                </c:pt>
                <c:pt idx="39">
                  <c:v>2000</c:v>
                </c:pt>
                <c:pt idx="40">
                  <c:v>2000</c:v>
                </c:pt>
                <c:pt idx="41">
                  <c:v>2000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2000</c:v>
                </c:pt>
                <c:pt idx="61">
                  <c:v>2000</c:v>
                </c:pt>
                <c:pt idx="62">
                  <c:v>2000</c:v>
                </c:pt>
                <c:pt idx="63">
                  <c:v>2000</c:v>
                </c:pt>
                <c:pt idx="64">
                  <c:v>2000</c:v>
                </c:pt>
                <c:pt idx="65">
                  <c:v>2000</c:v>
                </c:pt>
                <c:pt idx="66">
                  <c:v>2000</c:v>
                </c:pt>
                <c:pt idx="67">
                  <c:v>2000</c:v>
                </c:pt>
                <c:pt idx="68">
                  <c:v>2000</c:v>
                </c:pt>
                <c:pt idx="69">
                  <c:v>2000</c:v>
                </c:pt>
                <c:pt idx="70">
                  <c:v>2000</c:v>
                </c:pt>
                <c:pt idx="71">
                  <c:v>2000</c:v>
                </c:pt>
                <c:pt idx="72">
                  <c:v>2000</c:v>
                </c:pt>
                <c:pt idx="73">
                  <c:v>2000</c:v>
                </c:pt>
                <c:pt idx="74">
                  <c:v>2000</c:v>
                </c:pt>
                <c:pt idx="75">
                  <c:v>2000</c:v>
                </c:pt>
                <c:pt idx="76">
                  <c:v>2000</c:v>
                </c:pt>
                <c:pt idx="77">
                  <c:v>2000</c:v>
                </c:pt>
                <c:pt idx="78">
                  <c:v>2000</c:v>
                </c:pt>
                <c:pt idx="79">
                  <c:v>2000</c:v>
                </c:pt>
                <c:pt idx="80">
                  <c:v>2000</c:v>
                </c:pt>
                <c:pt idx="81">
                  <c:v>2000</c:v>
                </c:pt>
                <c:pt idx="82">
                  <c:v>2000</c:v>
                </c:pt>
                <c:pt idx="83">
                  <c:v>2000</c:v>
                </c:pt>
                <c:pt idx="84">
                  <c:v>2000</c:v>
                </c:pt>
                <c:pt idx="85">
                  <c:v>2000</c:v>
                </c:pt>
                <c:pt idx="86">
                  <c:v>2000</c:v>
                </c:pt>
                <c:pt idx="87">
                  <c:v>2000</c:v>
                </c:pt>
                <c:pt idx="88">
                  <c:v>2000</c:v>
                </c:pt>
                <c:pt idx="89">
                  <c:v>2000</c:v>
                </c:pt>
                <c:pt idx="90">
                  <c:v>2000</c:v>
                </c:pt>
                <c:pt idx="91">
                  <c:v>2000</c:v>
                </c:pt>
                <c:pt idx="92">
                  <c:v>2000</c:v>
                </c:pt>
                <c:pt idx="93">
                  <c:v>2000</c:v>
                </c:pt>
                <c:pt idx="94">
                  <c:v>2000</c:v>
                </c:pt>
                <c:pt idx="95">
                  <c:v>2000</c:v>
                </c:pt>
                <c:pt idx="96">
                  <c:v>2000</c:v>
                </c:pt>
                <c:pt idx="97">
                  <c:v>2000</c:v>
                </c:pt>
                <c:pt idx="98">
                  <c:v>2000</c:v>
                </c:pt>
                <c:pt idx="99">
                  <c:v>2000</c:v>
                </c:pt>
                <c:pt idx="100">
                  <c:v>2000</c:v>
                </c:pt>
                <c:pt idx="101">
                  <c:v>2000</c:v>
                </c:pt>
                <c:pt idx="102">
                  <c:v>2000</c:v>
                </c:pt>
                <c:pt idx="103">
                  <c:v>2000</c:v>
                </c:pt>
                <c:pt idx="104">
                  <c:v>2000</c:v>
                </c:pt>
                <c:pt idx="105">
                  <c:v>2000</c:v>
                </c:pt>
                <c:pt idx="106">
                  <c:v>2000</c:v>
                </c:pt>
                <c:pt idx="107">
                  <c:v>2000</c:v>
                </c:pt>
                <c:pt idx="108">
                  <c:v>2000</c:v>
                </c:pt>
                <c:pt idx="109">
                  <c:v>2000</c:v>
                </c:pt>
                <c:pt idx="110">
                  <c:v>2000</c:v>
                </c:pt>
                <c:pt idx="111">
                  <c:v>2000</c:v>
                </c:pt>
                <c:pt idx="112">
                  <c:v>2000</c:v>
                </c:pt>
                <c:pt idx="113">
                  <c:v>2000</c:v>
                </c:pt>
                <c:pt idx="114">
                  <c:v>2000</c:v>
                </c:pt>
                <c:pt idx="115">
                  <c:v>2000</c:v>
                </c:pt>
                <c:pt idx="116">
                  <c:v>2000</c:v>
                </c:pt>
                <c:pt idx="117">
                  <c:v>2000</c:v>
                </c:pt>
                <c:pt idx="118">
                  <c:v>2000</c:v>
                </c:pt>
                <c:pt idx="119">
                  <c:v>2000</c:v>
                </c:pt>
                <c:pt idx="120">
                  <c:v>2000</c:v>
                </c:pt>
                <c:pt idx="121">
                  <c:v>2000</c:v>
                </c:pt>
                <c:pt idx="122">
                  <c:v>2000</c:v>
                </c:pt>
                <c:pt idx="123">
                  <c:v>2000</c:v>
                </c:pt>
                <c:pt idx="124">
                  <c:v>2000</c:v>
                </c:pt>
                <c:pt idx="125">
                  <c:v>2000</c:v>
                </c:pt>
                <c:pt idx="126">
                  <c:v>2000</c:v>
                </c:pt>
                <c:pt idx="127">
                  <c:v>2000</c:v>
                </c:pt>
                <c:pt idx="128">
                  <c:v>2000</c:v>
                </c:pt>
                <c:pt idx="129">
                  <c:v>2000</c:v>
                </c:pt>
                <c:pt idx="130">
                  <c:v>2000</c:v>
                </c:pt>
                <c:pt idx="131">
                  <c:v>2000</c:v>
                </c:pt>
                <c:pt idx="132">
                  <c:v>2000</c:v>
                </c:pt>
                <c:pt idx="133">
                  <c:v>2000</c:v>
                </c:pt>
                <c:pt idx="134">
                  <c:v>2000</c:v>
                </c:pt>
                <c:pt idx="135">
                  <c:v>2000</c:v>
                </c:pt>
                <c:pt idx="136">
                  <c:v>2000</c:v>
                </c:pt>
                <c:pt idx="137">
                  <c:v>2000</c:v>
                </c:pt>
                <c:pt idx="138">
                  <c:v>2000</c:v>
                </c:pt>
                <c:pt idx="139">
                  <c:v>2000</c:v>
                </c:pt>
                <c:pt idx="140">
                  <c:v>2000</c:v>
                </c:pt>
                <c:pt idx="141">
                  <c:v>2000</c:v>
                </c:pt>
                <c:pt idx="142">
                  <c:v>2000</c:v>
                </c:pt>
                <c:pt idx="143">
                  <c:v>2000</c:v>
                </c:pt>
                <c:pt idx="144">
                  <c:v>2000</c:v>
                </c:pt>
                <c:pt idx="145">
                  <c:v>2000</c:v>
                </c:pt>
                <c:pt idx="146">
                  <c:v>2000</c:v>
                </c:pt>
                <c:pt idx="147">
                  <c:v>2000</c:v>
                </c:pt>
                <c:pt idx="148">
                  <c:v>2000</c:v>
                </c:pt>
                <c:pt idx="149">
                  <c:v>2000</c:v>
                </c:pt>
                <c:pt idx="150">
                  <c:v>2000</c:v>
                </c:pt>
                <c:pt idx="151">
                  <c:v>2000</c:v>
                </c:pt>
                <c:pt idx="152">
                  <c:v>2000</c:v>
                </c:pt>
                <c:pt idx="153">
                  <c:v>2000</c:v>
                </c:pt>
                <c:pt idx="154">
                  <c:v>2000</c:v>
                </c:pt>
                <c:pt idx="155">
                  <c:v>2000</c:v>
                </c:pt>
                <c:pt idx="156">
                  <c:v>2000</c:v>
                </c:pt>
                <c:pt idx="157">
                  <c:v>2000</c:v>
                </c:pt>
                <c:pt idx="158">
                  <c:v>2000</c:v>
                </c:pt>
                <c:pt idx="159">
                  <c:v>2000</c:v>
                </c:pt>
                <c:pt idx="160">
                  <c:v>2000</c:v>
                </c:pt>
                <c:pt idx="161">
                  <c:v>2000</c:v>
                </c:pt>
                <c:pt idx="162">
                  <c:v>2000</c:v>
                </c:pt>
                <c:pt idx="163">
                  <c:v>2000</c:v>
                </c:pt>
                <c:pt idx="164">
                  <c:v>2000</c:v>
                </c:pt>
                <c:pt idx="165">
                  <c:v>2000</c:v>
                </c:pt>
                <c:pt idx="166">
                  <c:v>2000</c:v>
                </c:pt>
                <c:pt idx="167">
                  <c:v>2000</c:v>
                </c:pt>
                <c:pt idx="168">
                  <c:v>2000</c:v>
                </c:pt>
                <c:pt idx="169">
                  <c:v>2000</c:v>
                </c:pt>
                <c:pt idx="170">
                  <c:v>2000</c:v>
                </c:pt>
                <c:pt idx="171">
                  <c:v>2000</c:v>
                </c:pt>
                <c:pt idx="172">
                  <c:v>2000</c:v>
                </c:pt>
                <c:pt idx="173">
                  <c:v>2000</c:v>
                </c:pt>
                <c:pt idx="174">
                  <c:v>2000</c:v>
                </c:pt>
                <c:pt idx="175">
                  <c:v>2000</c:v>
                </c:pt>
                <c:pt idx="176">
                  <c:v>2000</c:v>
                </c:pt>
                <c:pt idx="177">
                  <c:v>2000</c:v>
                </c:pt>
                <c:pt idx="178">
                  <c:v>2000</c:v>
                </c:pt>
                <c:pt idx="179">
                  <c:v>2000</c:v>
                </c:pt>
                <c:pt idx="180">
                  <c:v>2000</c:v>
                </c:pt>
                <c:pt idx="181">
                  <c:v>2000</c:v>
                </c:pt>
                <c:pt idx="182">
                  <c:v>2000</c:v>
                </c:pt>
                <c:pt idx="183">
                  <c:v>2000</c:v>
                </c:pt>
                <c:pt idx="184">
                  <c:v>2000</c:v>
                </c:pt>
                <c:pt idx="185">
                  <c:v>2000</c:v>
                </c:pt>
                <c:pt idx="186">
                  <c:v>2000</c:v>
                </c:pt>
                <c:pt idx="187">
                  <c:v>2000</c:v>
                </c:pt>
                <c:pt idx="188">
                  <c:v>2000</c:v>
                </c:pt>
                <c:pt idx="189">
                  <c:v>2000</c:v>
                </c:pt>
                <c:pt idx="190">
                  <c:v>2000</c:v>
                </c:pt>
                <c:pt idx="191">
                  <c:v>2000</c:v>
                </c:pt>
                <c:pt idx="192">
                  <c:v>2000</c:v>
                </c:pt>
                <c:pt idx="193">
                  <c:v>2000</c:v>
                </c:pt>
                <c:pt idx="194">
                  <c:v>2000</c:v>
                </c:pt>
                <c:pt idx="195">
                  <c:v>2000</c:v>
                </c:pt>
                <c:pt idx="196">
                  <c:v>2000</c:v>
                </c:pt>
                <c:pt idx="197">
                  <c:v>2000</c:v>
                </c:pt>
                <c:pt idx="198">
                  <c:v>2000</c:v>
                </c:pt>
                <c:pt idx="199">
                  <c:v>28000</c:v>
                </c:pt>
              </c:numCache>
            </c:numRef>
          </c:xVal>
          <c:yVal>
            <c:numRef>
              <c:f>曲線Lever計算!$L$8:$L$207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0.45</c:v>
                </c:pt>
                <c:pt idx="5">
                  <c:v>0.45</c:v>
                </c:pt>
                <c:pt idx="6">
                  <c:v>0.45</c:v>
                </c:pt>
                <c:pt idx="7">
                  <c:v>0.45</c:v>
                </c:pt>
                <c:pt idx="8">
                  <c:v>0.45</c:v>
                </c:pt>
                <c:pt idx="9">
                  <c:v>0.45</c:v>
                </c:pt>
                <c:pt idx="10">
                  <c:v>0.45</c:v>
                </c:pt>
                <c:pt idx="11">
                  <c:v>0.45</c:v>
                </c:pt>
                <c:pt idx="12">
                  <c:v>0.45</c:v>
                </c:pt>
                <c:pt idx="13">
                  <c:v>0.45</c:v>
                </c:pt>
                <c:pt idx="14">
                  <c:v>0.45</c:v>
                </c:pt>
                <c:pt idx="15">
                  <c:v>0.45</c:v>
                </c:pt>
                <c:pt idx="16">
                  <c:v>0.45</c:v>
                </c:pt>
                <c:pt idx="17">
                  <c:v>0.45</c:v>
                </c:pt>
                <c:pt idx="18">
                  <c:v>0.45</c:v>
                </c:pt>
                <c:pt idx="19">
                  <c:v>0.45</c:v>
                </c:pt>
                <c:pt idx="20">
                  <c:v>0.45</c:v>
                </c:pt>
                <c:pt idx="21">
                  <c:v>0.45</c:v>
                </c:pt>
                <c:pt idx="22">
                  <c:v>0.45</c:v>
                </c:pt>
                <c:pt idx="23">
                  <c:v>0.45</c:v>
                </c:pt>
                <c:pt idx="24">
                  <c:v>0.45</c:v>
                </c:pt>
                <c:pt idx="25">
                  <c:v>0.45</c:v>
                </c:pt>
                <c:pt idx="26">
                  <c:v>0.45</c:v>
                </c:pt>
                <c:pt idx="27">
                  <c:v>0.45</c:v>
                </c:pt>
                <c:pt idx="28">
                  <c:v>0.45</c:v>
                </c:pt>
                <c:pt idx="29">
                  <c:v>0.45</c:v>
                </c:pt>
                <c:pt idx="30">
                  <c:v>0.45</c:v>
                </c:pt>
                <c:pt idx="31">
                  <c:v>0.45</c:v>
                </c:pt>
                <c:pt idx="32">
                  <c:v>0.45</c:v>
                </c:pt>
                <c:pt idx="33">
                  <c:v>0.45</c:v>
                </c:pt>
                <c:pt idx="34">
                  <c:v>0.45</c:v>
                </c:pt>
                <c:pt idx="35">
                  <c:v>0.45</c:v>
                </c:pt>
                <c:pt idx="36">
                  <c:v>0.45</c:v>
                </c:pt>
                <c:pt idx="37">
                  <c:v>0.45</c:v>
                </c:pt>
                <c:pt idx="38">
                  <c:v>0.45</c:v>
                </c:pt>
                <c:pt idx="39">
                  <c:v>0.45</c:v>
                </c:pt>
                <c:pt idx="40">
                  <c:v>0.45</c:v>
                </c:pt>
                <c:pt idx="41">
                  <c:v>0.45</c:v>
                </c:pt>
                <c:pt idx="42">
                  <c:v>0.45</c:v>
                </c:pt>
                <c:pt idx="43">
                  <c:v>0.45</c:v>
                </c:pt>
                <c:pt idx="44">
                  <c:v>0.45</c:v>
                </c:pt>
                <c:pt idx="45">
                  <c:v>0.45</c:v>
                </c:pt>
                <c:pt idx="46">
                  <c:v>0.45</c:v>
                </c:pt>
                <c:pt idx="47">
                  <c:v>0.45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0.45</c:v>
                </c:pt>
                <c:pt idx="61">
                  <c:v>0.45</c:v>
                </c:pt>
                <c:pt idx="62">
                  <c:v>0.45</c:v>
                </c:pt>
                <c:pt idx="63">
                  <c:v>0.45</c:v>
                </c:pt>
                <c:pt idx="64">
                  <c:v>0.45</c:v>
                </c:pt>
                <c:pt idx="65">
                  <c:v>0.45</c:v>
                </c:pt>
                <c:pt idx="66">
                  <c:v>0.45</c:v>
                </c:pt>
                <c:pt idx="67">
                  <c:v>0.45</c:v>
                </c:pt>
                <c:pt idx="68">
                  <c:v>0.45</c:v>
                </c:pt>
                <c:pt idx="69">
                  <c:v>0.45</c:v>
                </c:pt>
                <c:pt idx="70">
                  <c:v>0.45</c:v>
                </c:pt>
                <c:pt idx="71">
                  <c:v>0.45</c:v>
                </c:pt>
                <c:pt idx="72">
                  <c:v>0.45</c:v>
                </c:pt>
                <c:pt idx="73">
                  <c:v>0.45</c:v>
                </c:pt>
                <c:pt idx="74">
                  <c:v>0.45</c:v>
                </c:pt>
                <c:pt idx="75">
                  <c:v>0.45</c:v>
                </c:pt>
                <c:pt idx="76">
                  <c:v>0.45</c:v>
                </c:pt>
                <c:pt idx="77">
                  <c:v>0.45</c:v>
                </c:pt>
                <c:pt idx="78">
                  <c:v>0.45</c:v>
                </c:pt>
                <c:pt idx="79">
                  <c:v>0.45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0.45</c:v>
                </c:pt>
                <c:pt idx="93">
                  <c:v>0.45</c:v>
                </c:pt>
                <c:pt idx="94">
                  <c:v>0.45</c:v>
                </c:pt>
                <c:pt idx="95">
                  <c:v>0.45</c:v>
                </c:pt>
                <c:pt idx="96">
                  <c:v>0.45</c:v>
                </c:pt>
                <c:pt idx="97">
                  <c:v>0.45</c:v>
                </c:pt>
                <c:pt idx="98">
                  <c:v>0.45</c:v>
                </c:pt>
                <c:pt idx="99">
                  <c:v>0.45</c:v>
                </c:pt>
                <c:pt idx="100">
                  <c:v>0.45</c:v>
                </c:pt>
                <c:pt idx="101">
                  <c:v>0.45</c:v>
                </c:pt>
                <c:pt idx="102">
                  <c:v>0.45</c:v>
                </c:pt>
                <c:pt idx="103">
                  <c:v>0.45</c:v>
                </c:pt>
                <c:pt idx="104">
                  <c:v>0.45</c:v>
                </c:pt>
                <c:pt idx="105">
                  <c:v>0.45</c:v>
                </c:pt>
                <c:pt idx="106">
                  <c:v>0.45</c:v>
                </c:pt>
                <c:pt idx="107">
                  <c:v>0.45</c:v>
                </c:pt>
                <c:pt idx="108">
                  <c:v>0.45</c:v>
                </c:pt>
                <c:pt idx="109">
                  <c:v>0.45</c:v>
                </c:pt>
                <c:pt idx="110">
                  <c:v>0.45</c:v>
                </c:pt>
                <c:pt idx="111">
                  <c:v>0.45</c:v>
                </c:pt>
                <c:pt idx="112">
                  <c:v>0.45</c:v>
                </c:pt>
                <c:pt idx="113">
                  <c:v>0.45</c:v>
                </c:pt>
                <c:pt idx="114">
                  <c:v>0.45</c:v>
                </c:pt>
                <c:pt idx="115">
                  <c:v>0.45</c:v>
                </c:pt>
                <c:pt idx="116">
                  <c:v>0.45</c:v>
                </c:pt>
                <c:pt idx="117">
                  <c:v>0.45</c:v>
                </c:pt>
                <c:pt idx="118">
                  <c:v>0.45</c:v>
                </c:pt>
                <c:pt idx="119">
                  <c:v>0.45</c:v>
                </c:pt>
                <c:pt idx="120">
                  <c:v>0.45</c:v>
                </c:pt>
                <c:pt idx="121">
                  <c:v>0.45</c:v>
                </c:pt>
                <c:pt idx="122">
                  <c:v>0.45</c:v>
                </c:pt>
                <c:pt idx="123">
                  <c:v>0.45</c:v>
                </c:pt>
                <c:pt idx="124">
                  <c:v>0.45</c:v>
                </c:pt>
                <c:pt idx="125">
                  <c:v>0.45</c:v>
                </c:pt>
                <c:pt idx="126">
                  <c:v>0.45</c:v>
                </c:pt>
                <c:pt idx="127">
                  <c:v>0.45</c:v>
                </c:pt>
                <c:pt idx="128">
                  <c:v>0.45</c:v>
                </c:pt>
                <c:pt idx="129">
                  <c:v>0.45</c:v>
                </c:pt>
                <c:pt idx="130">
                  <c:v>0.45</c:v>
                </c:pt>
                <c:pt idx="131">
                  <c:v>0.45</c:v>
                </c:pt>
                <c:pt idx="132">
                  <c:v>0.45</c:v>
                </c:pt>
                <c:pt idx="133">
                  <c:v>0.45</c:v>
                </c:pt>
                <c:pt idx="134">
                  <c:v>0.45</c:v>
                </c:pt>
                <c:pt idx="135">
                  <c:v>0.45</c:v>
                </c:pt>
                <c:pt idx="136">
                  <c:v>0.45</c:v>
                </c:pt>
                <c:pt idx="137">
                  <c:v>0.45</c:v>
                </c:pt>
                <c:pt idx="138">
                  <c:v>0.45</c:v>
                </c:pt>
                <c:pt idx="139">
                  <c:v>0.45</c:v>
                </c:pt>
                <c:pt idx="140">
                  <c:v>0.45</c:v>
                </c:pt>
                <c:pt idx="141">
                  <c:v>0.45</c:v>
                </c:pt>
                <c:pt idx="142">
                  <c:v>0.45</c:v>
                </c:pt>
                <c:pt idx="143">
                  <c:v>0.45</c:v>
                </c:pt>
                <c:pt idx="144">
                  <c:v>0.45</c:v>
                </c:pt>
                <c:pt idx="145">
                  <c:v>0.45</c:v>
                </c:pt>
                <c:pt idx="146">
                  <c:v>0.45</c:v>
                </c:pt>
                <c:pt idx="147">
                  <c:v>0.45</c:v>
                </c:pt>
                <c:pt idx="148">
                  <c:v>0.45</c:v>
                </c:pt>
                <c:pt idx="149">
                  <c:v>0.45</c:v>
                </c:pt>
                <c:pt idx="150">
                  <c:v>0.45</c:v>
                </c:pt>
                <c:pt idx="151">
                  <c:v>0.45</c:v>
                </c:pt>
                <c:pt idx="152">
                  <c:v>0.45</c:v>
                </c:pt>
                <c:pt idx="153">
                  <c:v>0.45</c:v>
                </c:pt>
                <c:pt idx="154">
                  <c:v>0.45</c:v>
                </c:pt>
                <c:pt idx="155">
                  <c:v>0.45</c:v>
                </c:pt>
                <c:pt idx="156">
                  <c:v>0.45</c:v>
                </c:pt>
                <c:pt idx="157">
                  <c:v>0.45</c:v>
                </c:pt>
                <c:pt idx="158">
                  <c:v>0.45</c:v>
                </c:pt>
                <c:pt idx="159">
                  <c:v>0.45</c:v>
                </c:pt>
                <c:pt idx="160">
                  <c:v>0.45</c:v>
                </c:pt>
                <c:pt idx="161">
                  <c:v>0.45</c:v>
                </c:pt>
                <c:pt idx="162">
                  <c:v>0.45</c:v>
                </c:pt>
                <c:pt idx="163">
                  <c:v>0.45</c:v>
                </c:pt>
                <c:pt idx="164">
                  <c:v>0.45</c:v>
                </c:pt>
                <c:pt idx="165">
                  <c:v>0.45</c:v>
                </c:pt>
                <c:pt idx="166">
                  <c:v>0.45</c:v>
                </c:pt>
                <c:pt idx="167">
                  <c:v>0.45</c:v>
                </c:pt>
                <c:pt idx="168">
                  <c:v>0.45</c:v>
                </c:pt>
                <c:pt idx="169">
                  <c:v>0.45</c:v>
                </c:pt>
                <c:pt idx="170">
                  <c:v>0.45</c:v>
                </c:pt>
                <c:pt idx="171">
                  <c:v>0.45</c:v>
                </c:pt>
                <c:pt idx="172">
                  <c:v>0.45</c:v>
                </c:pt>
                <c:pt idx="173">
                  <c:v>0.45</c:v>
                </c:pt>
                <c:pt idx="174">
                  <c:v>0.45</c:v>
                </c:pt>
                <c:pt idx="175">
                  <c:v>0.45</c:v>
                </c:pt>
                <c:pt idx="176">
                  <c:v>0.45</c:v>
                </c:pt>
                <c:pt idx="177">
                  <c:v>0.45</c:v>
                </c:pt>
                <c:pt idx="178">
                  <c:v>0.45</c:v>
                </c:pt>
                <c:pt idx="179">
                  <c:v>0.45</c:v>
                </c:pt>
                <c:pt idx="180">
                  <c:v>0.45</c:v>
                </c:pt>
                <c:pt idx="181">
                  <c:v>0.45</c:v>
                </c:pt>
                <c:pt idx="182">
                  <c:v>0.45</c:v>
                </c:pt>
                <c:pt idx="183">
                  <c:v>0.45</c:v>
                </c:pt>
                <c:pt idx="184">
                  <c:v>0.45</c:v>
                </c:pt>
                <c:pt idx="185">
                  <c:v>0.45</c:v>
                </c:pt>
                <c:pt idx="186">
                  <c:v>0.45</c:v>
                </c:pt>
                <c:pt idx="187">
                  <c:v>0.45</c:v>
                </c:pt>
                <c:pt idx="188">
                  <c:v>0.45</c:v>
                </c:pt>
                <c:pt idx="189">
                  <c:v>0.45</c:v>
                </c:pt>
                <c:pt idx="190">
                  <c:v>0.45</c:v>
                </c:pt>
                <c:pt idx="191">
                  <c:v>0.45</c:v>
                </c:pt>
                <c:pt idx="192">
                  <c:v>0.45</c:v>
                </c:pt>
                <c:pt idx="193">
                  <c:v>0.45</c:v>
                </c:pt>
                <c:pt idx="194">
                  <c:v>0.45</c:v>
                </c:pt>
                <c:pt idx="195">
                  <c:v>0.45</c:v>
                </c:pt>
                <c:pt idx="196">
                  <c:v>0.45</c:v>
                </c:pt>
                <c:pt idx="197">
                  <c:v>0.45</c:v>
                </c:pt>
                <c:pt idx="198">
                  <c:v>0.45</c:v>
                </c:pt>
                <c:pt idx="199">
                  <c:v>0.45</c:v>
                </c:pt>
              </c:numCache>
            </c:numRef>
          </c:yVal>
          <c:smooth val="0"/>
        </c:ser>
        <c:ser>
          <c:idx val="15"/>
          <c:order val="3"/>
          <c:tx>
            <c:strRef>
              <c:f>协调曲线图!$D$88</c:f>
              <c:strCache>
                <c:ptCount val="1"/>
                <c:pt idx="0">
                  <c:v>--------------------20Kv馈线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1.8052643838807361E-2"/>
                  <c:y val="-7.02559097809584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曲線Lever計算!$S$8:$S$207</c:f>
              <c:numCache>
                <c:formatCode>General</c:formatCode>
                <c:ptCount val="200"/>
                <c:pt idx="0">
                  <c:v>264</c:v>
                </c:pt>
                <c:pt idx="1">
                  <c:v>440</c:v>
                </c:pt>
                <c:pt idx="2">
                  <c:v>660</c:v>
                </c:pt>
                <c:pt idx="3">
                  <c:v>880</c:v>
                </c:pt>
                <c:pt idx="4">
                  <c:v>1100</c:v>
                </c:pt>
                <c:pt idx="5">
                  <c:v>1320</c:v>
                </c:pt>
                <c:pt idx="6">
                  <c:v>1540</c:v>
                </c:pt>
                <c:pt idx="7">
                  <c:v>1760</c:v>
                </c:pt>
                <c:pt idx="8">
                  <c:v>1980</c:v>
                </c:pt>
                <c:pt idx="9">
                  <c:v>2200</c:v>
                </c:pt>
                <c:pt idx="10">
                  <c:v>2420</c:v>
                </c:pt>
                <c:pt idx="11">
                  <c:v>2500</c:v>
                </c:pt>
                <c:pt idx="12">
                  <c:v>2500</c:v>
                </c:pt>
                <c:pt idx="13">
                  <c:v>2500</c:v>
                </c:pt>
                <c:pt idx="14">
                  <c:v>2500</c:v>
                </c:pt>
                <c:pt idx="15">
                  <c:v>2500</c:v>
                </c:pt>
                <c:pt idx="16">
                  <c:v>2500</c:v>
                </c:pt>
                <c:pt idx="17">
                  <c:v>2500</c:v>
                </c:pt>
                <c:pt idx="18">
                  <c:v>2500</c:v>
                </c:pt>
                <c:pt idx="19">
                  <c:v>2500</c:v>
                </c:pt>
                <c:pt idx="20">
                  <c:v>2500</c:v>
                </c:pt>
                <c:pt idx="21">
                  <c:v>2500</c:v>
                </c:pt>
                <c:pt idx="22">
                  <c:v>2500</c:v>
                </c:pt>
                <c:pt idx="23">
                  <c:v>2500</c:v>
                </c:pt>
                <c:pt idx="24">
                  <c:v>2500</c:v>
                </c:pt>
                <c:pt idx="25">
                  <c:v>2500</c:v>
                </c:pt>
                <c:pt idx="26">
                  <c:v>2500</c:v>
                </c:pt>
                <c:pt idx="27">
                  <c:v>2500</c:v>
                </c:pt>
                <c:pt idx="28">
                  <c:v>2500</c:v>
                </c:pt>
                <c:pt idx="29">
                  <c:v>2500</c:v>
                </c:pt>
                <c:pt idx="30">
                  <c:v>2500</c:v>
                </c:pt>
                <c:pt idx="31">
                  <c:v>2500</c:v>
                </c:pt>
                <c:pt idx="32">
                  <c:v>2500</c:v>
                </c:pt>
                <c:pt idx="33">
                  <c:v>2500</c:v>
                </c:pt>
                <c:pt idx="34">
                  <c:v>2500</c:v>
                </c:pt>
                <c:pt idx="35">
                  <c:v>2500</c:v>
                </c:pt>
                <c:pt idx="36">
                  <c:v>2500</c:v>
                </c:pt>
                <c:pt idx="37">
                  <c:v>2500</c:v>
                </c:pt>
                <c:pt idx="38">
                  <c:v>2500</c:v>
                </c:pt>
                <c:pt idx="39">
                  <c:v>2500</c:v>
                </c:pt>
                <c:pt idx="40">
                  <c:v>2500</c:v>
                </c:pt>
                <c:pt idx="41">
                  <c:v>2500</c:v>
                </c:pt>
                <c:pt idx="42">
                  <c:v>2500</c:v>
                </c:pt>
                <c:pt idx="43">
                  <c:v>2500</c:v>
                </c:pt>
                <c:pt idx="44">
                  <c:v>2500</c:v>
                </c:pt>
                <c:pt idx="45">
                  <c:v>2500</c:v>
                </c:pt>
                <c:pt idx="46">
                  <c:v>2500</c:v>
                </c:pt>
                <c:pt idx="47">
                  <c:v>2500</c:v>
                </c:pt>
                <c:pt idx="48">
                  <c:v>2500</c:v>
                </c:pt>
                <c:pt idx="49">
                  <c:v>2500</c:v>
                </c:pt>
                <c:pt idx="50">
                  <c:v>2500</c:v>
                </c:pt>
                <c:pt idx="51">
                  <c:v>2500</c:v>
                </c:pt>
                <c:pt idx="52">
                  <c:v>2500</c:v>
                </c:pt>
                <c:pt idx="53">
                  <c:v>2500</c:v>
                </c:pt>
                <c:pt idx="54">
                  <c:v>2500</c:v>
                </c:pt>
                <c:pt idx="55">
                  <c:v>2500</c:v>
                </c:pt>
                <c:pt idx="56">
                  <c:v>2500</c:v>
                </c:pt>
                <c:pt idx="57">
                  <c:v>2500</c:v>
                </c:pt>
                <c:pt idx="58">
                  <c:v>2500</c:v>
                </c:pt>
                <c:pt idx="59">
                  <c:v>2500</c:v>
                </c:pt>
                <c:pt idx="60">
                  <c:v>2500</c:v>
                </c:pt>
                <c:pt idx="61">
                  <c:v>2500</c:v>
                </c:pt>
                <c:pt idx="62">
                  <c:v>2500</c:v>
                </c:pt>
                <c:pt idx="63">
                  <c:v>2500</c:v>
                </c:pt>
                <c:pt idx="64">
                  <c:v>2500</c:v>
                </c:pt>
                <c:pt idx="65">
                  <c:v>2500</c:v>
                </c:pt>
                <c:pt idx="66">
                  <c:v>2500</c:v>
                </c:pt>
                <c:pt idx="67">
                  <c:v>2500</c:v>
                </c:pt>
                <c:pt idx="68">
                  <c:v>2500</c:v>
                </c:pt>
                <c:pt idx="69">
                  <c:v>2500</c:v>
                </c:pt>
                <c:pt idx="70">
                  <c:v>2500</c:v>
                </c:pt>
                <c:pt idx="71">
                  <c:v>2500</c:v>
                </c:pt>
                <c:pt idx="72">
                  <c:v>2500</c:v>
                </c:pt>
                <c:pt idx="73">
                  <c:v>2500</c:v>
                </c:pt>
                <c:pt idx="74">
                  <c:v>2500</c:v>
                </c:pt>
                <c:pt idx="75">
                  <c:v>2500</c:v>
                </c:pt>
                <c:pt idx="76">
                  <c:v>2500</c:v>
                </c:pt>
                <c:pt idx="77">
                  <c:v>2500</c:v>
                </c:pt>
                <c:pt idx="78">
                  <c:v>2500</c:v>
                </c:pt>
                <c:pt idx="79">
                  <c:v>2500</c:v>
                </c:pt>
                <c:pt idx="80">
                  <c:v>2500</c:v>
                </c:pt>
                <c:pt idx="81">
                  <c:v>2500</c:v>
                </c:pt>
                <c:pt idx="82">
                  <c:v>2500</c:v>
                </c:pt>
                <c:pt idx="83">
                  <c:v>2500</c:v>
                </c:pt>
                <c:pt idx="84">
                  <c:v>2500</c:v>
                </c:pt>
                <c:pt idx="85">
                  <c:v>2500</c:v>
                </c:pt>
                <c:pt idx="86">
                  <c:v>2500</c:v>
                </c:pt>
                <c:pt idx="87">
                  <c:v>2500</c:v>
                </c:pt>
                <c:pt idx="88">
                  <c:v>2500</c:v>
                </c:pt>
                <c:pt idx="89">
                  <c:v>2500</c:v>
                </c:pt>
                <c:pt idx="90">
                  <c:v>2500</c:v>
                </c:pt>
                <c:pt idx="91">
                  <c:v>2500</c:v>
                </c:pt>
                <c:pt idx="92">
                  <c:v>2500</c:v>
                </c:pt>
                <c:pt idx="93">
                  <c:v>2500</c:v>
                </c:pt>
                <c:pt idx="94">
                  <c:v>2500</c:v>
                </c:pt>
                <c:pt idx="95">
                  <c:v>2500</c:v>
                </c:pt>
                <c:pt idx="96">
                  <c:v>2500</c:v>
                </c:pt>
                <c:pt idx="97">
                  <c:v>2500</c:v>
                </c:pt>
                <c:pt idx="98">
                  <c:v>2500</c:v>
                </c:pt>
                <c:pt idx="99">
                  <c:v>2500</c:v>
                </c:pt>
                <c:pt idx="100">
                  <c:v>2500</c:v>
                </c:pt>
                <c:pt idx="101">
                  <c:v>2500</c:v>
                </c:pt>
                <c:pt idx="102">
                  <c:v>2500</c:v>
                </c:pt>
                <c:pt idx="103">
                  <c:v>2500</c:v>
                </c:pt>
                <c:pt idx="104">
                  <c:v>2500</c:v>
                </c:pt>
                <c:pt idx="105">
                  <c:v>2500</c:v>
                </c:pt>
                <c:pt idx="106">
                  <c:v>2500</c:v>
                </c:pt>
                <c:pt idx="107">
                  <c:v>2500</c:v>
                </c:pt>
                <c:pt idx="108">
                  <c:v>2500</c:v>
                </c:pt>
                <c:pt idx="109">
                  <c:v>2500</c:v>
                </c:pt>
                <c:pt idx="110">
                  <c:v>2500</c:v>
                </c:pt>
                <c:pt idx="111">
                  <c:v>2500</c:v>
                </c:pt>
                <c:pt idx="112">
                  <c:v>2500</c:v>
                </c:pt>
                <c:pt idx="113">
                  <c:v>2500</c:v>
                </c:pt>
                <c:pt idx="114">
                  <c:v>2500</c:v>
                </c:pt>
                <c:pt idx="115">
                  <c:v>2500</c:v>
                </c:pt>
                <c:pt idx="116">
                  <c:v>2500</c:v>
                </c:pt>
                <c:pt idx="117">
                  <c:v>2500</c:v>
                </c:pt>
                <c:pt idx="118">
                  <c:v>2500</c:v>
                </c:pt>
                <c:pt idx="119">
                  <c:v>2500</c:v>
                </c:pt>
                <c:pt idx="120">
                  <c:v>2500</c:v>
                </c:pt>
                <c:pt idx="121">
                  <c:v>2500</c:v>
                </c:pt>
                <c:pt idx="122">
                  <c:v>2500</c:v>
                </c:pt>
                <c:pt idx="123">
                  <c:v>2500</c:v>
                </c:pt>
                <c:pt idx="124">
                  <c:v>2500</c:v>
                </c:pt>
                <c:pt idx="125">
                  <c:v>2500</c:v>
                </c:pt>
                <c:pt idx="126">
                  <c:v>2500</c:v>
                </c:pt>
                <c:pt idx="127">
                  <c:v>2500</c:v>
                </c:pt>
                <c:pt idx="128">
                  <c:v>2500</c:v>
                </c:pt>
                <c:pt idx="129">
                  <c:v>2500</c:v>
                </c:pt>
                <c:pt idx="130">
                  <c:v>2500</c:v>
                </c:pt>
                <c:pt idx="131">
                  <c:v>2500</c:v>
                </c:pt>
                <c:pt idx="132">
                  <c:v>2500</c:v>
                </c:pt>
                <c:pt idx="133">
                  <c:v>2500</c:v>
                </c:pt>
                <c:pt idx="134">
                  <c:v>2500</c:v>
                </c:pt>
                <c:pt idx="135">
                  <c:v>2500</c:v>
                </c:pt>
                <c:pt idx="136">
                  <c:v>2500</c:v>
                </c:pt>
                <c:pt idx="137">
                  <c:v>2500</c:v>
                </c:pt>
                <c:pt idx="138">
                  <c:v>2500</c:v>
                </c:pt>
                <c:pt idx="139">
                  <c:v>2500</c:v>
                </c:pt>
                <c:pt idx="140">
                  <c:v>2500</c:v>
                </c:pt>
                <c:pt idx="141">
                  <c:v>2500</c:v>
                </c:pt>
                <c:pt idx="142">
                  <c:v>2500</c:v>
                </c:pt>
                <c:pt idx="143">
                  <c:v>2500</c:v>
                </c:pt>
                <c:pt idx="144">
                  <c:v>2500</c:v>
                </c:pt>
                <c:pt idx="145">
                  <c:v>2500</c:v>
                </c:pt>
                <c:pt idx="146">
                  <c:v>2500</c:v>
                </c:pt>
                <c:pt idx="147">
                  <c:v>2500</c:v>
                </c:pt>
                <c:pt idx="148">
                  <c:v>2500</c:v>
                </c:pt>
                <c:pt idx="149">
                  <c:v>2500</c:v>
                </c:pt>
                <c:pt idx="150">
                  <c:v>2500</c:v>
                </c:pt>
                <c:pt idx="151">
                  <c:v>2500</c:v>
                </c:pt>
                <c:pt idx="152">
                  <c:v>2500</c:v>
                </c:pt>
                <c:pt idx="153">
                  <c:v>2500</c:v>
                </c:pt>
                <c:pt idx="154">
                  <c:v>2500</c:v>
                </c:pt>
                <c:pt idx="155">
                  <c:v>2500</c:v>
                </c:pt>
                <c:pt idx="156">
                  <c:v>2500</c:v>
                </c:pt>
                <c:pt idx="157">
                  <c:v>2500</c:v>
                </c:pt>
                <c:pt idx="158">
                  <c:v>2500</c:v>
                </c:pt>
                <c:pt idx="159">
                  <c:v>2500</c:v>
                </c:pt>
                <c:pt idx="160">
                  <c:v>2500</c:v>
                </c:pt>
                <c:pt idx="161">
                  <c:v>2500</c:v>
                </c:pt>
                <c:pt idx="162">
                  <c:v>2500</c:v>
                </c:pt>
                <c:pt idx="163">
                  <c:v>2500</c:v>
                </c:pt>
                <c:pt idx="164">
                  <c:v>2500</c:v>
                </c:pt>
                <c:pt idx="165">
                  <c:v>2500</c:v>
                </c:pt>
                <c:pt idx="166">
                  <c:v>2500</c:v>
                </c:pt>
                <c:pt idx="167">
                  <c:v>2500</c:v>
                </c:pt>
                <c:pt idx="168">
                  <c:v>2500</c:v>
                </c:pt>
                <c:pt idx="169">
                  <c:v>2500</c:v>
                </c:pt>
                <c:pt idx="170">
                  <c:v>2500</c:v>
                </c:pt>
                <c:pt idx="171">
                  <c:v>2500</c:v>
                </c:pt>
                <c:pt idx="172">
                  <c:v>2500</c:v>
                </c:pt>
                <c:pt idx="173">
                  <c:v>2500</c:v>
                </c:pt>
                <c:pt idx="174">
                  <c:v>2500</c:v>
                </c:pt>
                <c:pt idx="175">
                  <c:v>2500</c:v>
                </c:pt>
                <c:pt idx="176">
                  <c:v>2500</c:v>
                </c:pt>
                <c:pt idx="177">
                  <c:v>2500</c:v>
                </c:pt>
                <c:pt idx="178">
                  <c:v>2500</c:v>
                </c:pt>
                <c:pt idx="179">
                  <c:v>2500</c:v>
                </c:pt>
                <c:pt idx="180">
                  <c:v>2500</c:v>
                </c:pt>
                <c:pt idx="181">
                  <c:v>2500</c:v>
                </c:pt>
                <c:pt idx="182">
                  <c:v>2500</c:v>
                </c:pt>
                <c:pt idx="183">
                  <c:v>2500</c:v>
                </c:pt>
                <c:pt idx="184">
                  <c:v>2500</c:v>
                </c:pt>
                <c:pt idx="185">
                  <c:v>2500</c:v>
                </c:pt>
                <c:pt idx="186">
                  <c:v>2500</c:v>
                </c:pt>
                <c:pt idx="187">
                  <c:v>2500</c:v>
                </c:pt>
                <c:pt idx="188">
                  <c:v>2500</c:v>
                </c:pt>
                <c:pt idx="189">
                  <c:v>2500</c:v>
                </c:pt>
                <c:pt idx="190">
                  <c:v>2500</c:v>
                </c:pt>
                <c:pt idx="191">
                  <c:v>2500</c:v>
                </c:pt>
                <c:pt idx="192">
                  <c:v>2500</c:v>
                </c:pt>
                <c:pt idx="193">
                  <c:v>2500</c:v>
                </c:pt>
                <c:pt idx="194">
                  <c:v>2500</c:v>
                </c:pt>
                <c:pt idx="195">
                  <c:v>2500</c:v>
                </c:pt>
                <c:pt idx="196">
                  <c:v>2500</c:v>
                </c:pt>
                <c:pt idx="197">
                  <c:v>2500</c:v>
                </c:pt>
                <c:pt idx="198">
                  <c:v>2500</c:v>
                </c:pt>
                <c:pt idx="199">
                  <c:v>44000</c:v>
                </c:pt>
              </c:numCache>
            </c:numRef>
          </c:xVal>
          <c:yVal>
            <c:numRef>
              <c:f>曲線Lever計算!$Q$8:$Q$207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0.66006600660066006</c:v>
                </c:pt>
                <c:pt idx="4">
                  <c:v>0.65</c:v>
                </c:pt>
                <c:pt idx="5">
                  <c:v>0.65</c:v>
                </c:pt>
                <c:pt idx="6">
                  <c:v>0.65</c:v>
                </c:pt>
                <c:pt idx="7">
                  <c:v>0.65</c:v>
                </c:pt>
                <c:pt idx="8">
                  <c:v>0.65</c:v>
                </c:pt>
                <c:pt idx="9">
                  <c:v>0.65</c:v>
                </c:pt>
                <c:pt idx="10">
                  <c:v>0.65</c:v>
                </c:pt>
                <c:pt idx="11">
                  <c:v>0.65</c:v>
                </c:pt>
                <c:pt idx="12">
                  <c:v>0.65</c:v>
                </c:pt>
                <c:pt idx="13">
                  <c:v>0.65</c:v>
                </c:pt>
                <c:pt idx="14">
                  <c:v>0.65</c:v>
                </c:pt>
                <c:pt idx="15">
                  <c:v>0.65</c:v>
                </c:pt>
                <c:pt idx="16">
                  <c:v>0.65</c:v>
                </c:pt>
                <c:pt idx="17">
                  <c:v>0.65</c:v>
                </c:pt>
                <c:pt idx="18">
                  <c:v>0.65</c:v>
                </c:pt>
                <c:pt idx="19">
                  <c:v>0.65</c:v>
                </c:pt>
                <c:pt idx="20">
                  <c:v>0.65</c:v>
                </c:pt>
                <c:pt idx="21">
                  <c:v>0.65</c:v>
                </c:pt>
                <c:pt idx="22">
                  <c:v>0.65</c:v>
                </c:pt>
                <c:pt idx="23">
                  <c:v>0.65</c:v>
                </c:pt>
                <c:pt idx="24">
                  <c:v>0.65</c:v>
                </c:pt>
                <c:pt idx="25">
                  <c:v>0.65</c:v>
                </c:pt>
                <c:pt idx="26">
                  <c:v>0.65</c:v>
                </c:pt>
                <c:pt idx="27">
                  <c:v>0.65</c:v>
                </c:pt>
                <c:pt idx="28">
                  <c:v>0.65</c:v>
                </c:pt>
                <c:pt idx="29">
                  <c:v>0.65</c:v>
                </c:pt>
                <c:pt idx="30">
                  <c:v>0.65</c:v>
                </c:pt>
                <c:pt idx="31">
                  <c:v>0.65</c:v>
                </c:pt>
                <c:pt idx="32">
                  <c:v>0.65</c:v>
                </c:pt>
                <c:pt idx="33">
                  <c:v>0.65</c:v>
                </c:pt>
                <c:pt idx="34">
                  <c:v>0.65</c:v>
                </c:pt>
                <c:pt idx="35">
                  <c:v>0.65</c:v>
                </c:pt>
                <c:pt idx="36">
                  <c:v>0.65</c:v>
                </c:pt>
                <c:pt idx="37">
                  <c:v>0.65</c:v>
                </c:pt>
                <c:pt idx="38">
                  <c:v>0.65</c:v>
                </c:pt>
                <c:pt idx="39">
                  <c:v>0.65</c:v>
                </c:pt>
                <c:pt idx="40">
                  <c:v>0.65</c:v>
                </c:pt>
                <c:pt idx="41">
                  <c:v>0.65</c:v>
                </c:pt>
                <c:pt idx="42">
                  <c:v>0.65</c:v>
                </c:pt>
                <c:pt idx="43">
                  <c:v>0.65</c:v>
                </c:pt>
                <c:pt idx="44">
                  <c:v>0.65</c:v>
                </c:pt>
                <c:pt idx="45">
                  <c:v>0.65</c:v>
                </c:pt>
                <c:pt idx="46">
                  <c:v>0.65</c:v>
                </c:pt>
                <c:pt idx="47">
                  <c:v>0.65</c:v>
                </c:pt>
                <c:pt idx="48">
                  <c:v>0.65</c:v>
                </c:pt>
                <c:pt idx="49">
                  <c:v>0.65</c:v>
                </c:pt>
                <c:pt idx="50">
                  <c:v>0.65</c:v>
                </c:pt>
                <c:pt idx="51">
                  <c:v>0.65</c:v>
                </c:pt>
                <c:pt idx="52">
                  <c:v>0.65</c:v>
                </c:pt>
                <c:pt idx="53">
                  <c:v>0.65</c:v>
                </c:pt>
                <c:pt idx="54">
                  <c:v>0.65</c:v>
                </c:pt>
                <c:pt idx="55">
                  <c:v>0.65</c:v>
                </c:pt>
                <c:pt idx="56">
                  <c:v>0.65</c:v>
                </c:pt>
                <c:pt idx="57">
                  <c:v>0.65</c:v>
                </c:pt>
                <c:pt idx="58">
                  <c:v>0.65</c:v>
                </c:pt>
                <c:pt idx="59">
                  <c:v>0.65</c:v>
                </c:pt>
                <c:pt idx="60">
                  <c:v>0.65</c:v>
                </c:pt>
                <c:pt idx="61">
                  <c:v>0.65</c:v>
                </c:pt>
                <c:pt idx="62">
                  <c:v>0.65</c:v>
                </c:pt>
                <c:pt idx="63">
                  <c:v>0.65</c:v>
                </c:pt>
                <c:pt idx="64">
                  <c:v>0.65</c:v>
                </c:pt>
                <c:pt idx="65">
                  <c:v>0.65</c:v>
                </c:pt>
                <c:pt idx="66">
                  <c:v>0.65</c:v>
                </c:pt>
                <c:pt idx="67">
                  <c:v>0.65</c:v>
                </c:pt>
                <c:pt idx="68">
                  <c:v>0.65</c:v>
                </c:pt>
                <c:pt idx="69">
                  <c:v>0.65</c:v>
                </c:pt>
                <c:pt idx="70">
                  <c:v>0.65</c:v>
                </c:pt>
                <c:pt idx="71">
                  <c:v>0.65</c:v>
                </c:pt>
                <c:pt idx="72">
                  <c:v>0.65</c:v>
                </c:pt>
                <c:pt idx="73">
                  <c:v>0.65</c:v>
                </c:pt>
                <c:pt idx="74">
                  <c:v>0.65</c:v>
                </c:pt>
                <c:pt idx="75">
                  <c:v>0.65</c:v>
                </c:pt>
                <c:pt idx="76">
                  <c:v>0.65</c:v>
                </c:pt>
                <c:pt idx="77">
                  <c:v>0.65</c:v>
                </c:pt>
                <c:pt idx="78">
                  <c:v>0.65</c:v>
                </c:pt>
                <c:pt idx="79">
                  <c:v>0.65</c:v>
                </c:pt>
                <c:pt idx="80">
                  <c:v>0.65</c:v>
                </c:pt>
                <c:pt idx="81">
                  <c:v>0.65</c:v>
                </c:pt>
                <c:pt idx="82">
                  <c:v>0.65</c:v>
                </c:pt>
                <c:pt idx="83">
                  <c:v>0.65</c:v>
                </c:pt>
                <c:pt idx="84">
                  <c:v>0.65</c:v>
                </c:pt>
                <c:pt idx="85">
                  <c:v>0.65</c:v>
                </c:pt>
                <c:pt idx="86">
                  <c:v>0.65</c:v>
                </c:pt>
                <c:pt idx="87">
                  <c:v>0.65</c:v>
                </c:pt>
                <c:pt idx="88">
                  <c:v>0.65</c:v>
                </c:pt>
                <c:pt idx="89">
                  <c:v>0.65</c:v>
                </c:pt>
                <c:pt idx="90">
                  <c:v>0.65</c:v>
                </c:pt>
                <c:pt idx="91">
                  <c:v>0.65</c:v>
                </c:pt>
                <c:pt idx="92">
                  <c:v>0.65</c:v>
                </c:pt>
                <c:pt idx="93">
                  <c:v>0.65</c:v>
                </c:pt>
                <c:pt idx="94">
                  <c:v>0.65</c:v>
                </c:pt>
                <c:pt idx="95">
                  <c:v>0.65</c:v>
                </c:pt>
                <c:pt idx="96">
                  <c:v>0.65</c:v>
                </c:pt>
                <c:pt idx="97">
                  <c:v>0.65</c:v>
                </c:pt>
                <c:pt idx="98">
                  <c:v>0.65</c:v>
                </c:pt>
                <c:pt idx="99">
                  <c:v>0.65</c:v>
                </c:pt>
                <c:pt idx="100">
                  <c:v>0.65</c:v>
                </c:pt>
                <c:pt idx="101">
                  <c:v>0.65</c:v>
                </c:pt>
                <c:pt idx="102">
                  <c:v>0.65</c:v>
                </c:pt>
                <c:pt idx="103">
                  <c:v>0.65</c:v>
                </c:pt>
                <c:pt idx="104">
                  <c:v>0.65</c:v>
                </c:pt>
                <c:pt idx="105">
                  <c:v>0.65</c:v>
                </c:pt>
                <c:pt idx="106">
                  <c:v>0.65</c:v>
                </c:pt>
                <c:pt idx="107">
                  <c:v>0.65</c:v>
                </c:pt>
                <c:pt idx="108">
                  <c:v>0.65</c:v>
                </c:pt>
                <c:pt idx="109">
                  <c:v>0.65</c:v>
                </c:pt>
                <c:pt idx="110">
                  <c:v>0.65</c:v>
                </c:pt>
                <c:pt idx="111">
                  <c:v>0.65</c:v>
                </c:pt>
                <c:pt idx="112">
                  <c:v>0.65</c:v>
                </c:pt>
                <c:pt idx="113">
                  <c:v>0.65</c:v>
                </c:pt>
                <c:pt idx="114">
                  <c:v>0.65</c:v>
                </c:pt>
                <c:pt idx="115">
                  <c:v>0.65</c:v>
                </c:pt>
                <c:pt idx="116">
                  <c:v>0.65</c:v>
                </c:pt>
                <c:pt idx="117">
                  <c:v>0.65</c:v>
                </c:pt>
                <c:pt idx="118">
                  <c:v>0.65</c:v>
                </c:pt>
                <c:pt idx="119">
                  <c:v>0.65</c:v>
                </c:pt>
                <c:pt idx="120">
                  <c:v>0.65</c:v>
                </c:pt>
                <c:pt idx="121">
                  <c:v>0.65</c:v>
                </c:pt>
                <c:pt idx="122">
                  <c:v>0.65</c:v>
                </c:pt>
                <c:pt idx="123">
                  <c:v>0.65</c:v>
                </c:pt>
                <c:pt idx="124">
                  <c:v>0.65</c:v>
                </c:pt>
                <c:pt idx="125">
                  <c:v>0.65</c:v>
                </c:pt>
                <c:pt idx="126">
                  <c:v>0.65</c:v>
                </c:pt>
                <c:pt idx="127">
                  <c:v>0.65</c:v>
                </c:pt>
                <c:pt idx="128">
                  <c:v>0.65</c:v>
                </c:pt>
                <c:pt idx="129">
                  <c:v>0.65</c:v>
                </c:pt>
                <c:pt idx="130">
                  <c:v>0.65</c:v>
                </c:pt>
                <c:pt idx="131">
                  <c:v>0.65</c:v>
                </c:pt>
                <c:pt idx="132">
                  <c:v>0.65</c:v>
                </c:pt>
                <c:pt idx="133">
                  <c:v>0.65</c:v>
                </c:pt>
                <c:pt idx="134">
                  <c:v>0.65</c:v>
                </c:pt>
                <c:pt idx="135">
                  <c:v>0.65</c:v>
                </c:pt>
                <c:pt idx="136">
                  <c:v>0.65</c:v>
                </c:pt>
                <c:pt idx="137">
                  <c:v>0.65</c:v>
                </c:pt>
                <c:pt idx="138">
                  <c:v>0.65</c:v>
                </c:pt>
                <c:pt idx="139">
                  <c:v>0.65</c:v>
                </c:pt>
                <c:pt idx="140">
                  <c:v>0.65</c:v>
                </c:pt>
                <c:pt idx="141">
                  <c:v>0.65</c:v>
                </c:pt>
                <c:pt idx="142">
                  <c:v>0.65</c:v>
                </c:pt>
                <c:pt idx="143">
                  <c:v>0.65</c:v>
                </c:pt>
                <c:pt idx="144">
                  <c:v>0.65</c:v>
                </c:pt>
                <c:pt idx="145">
                  <c:v>0.65</c:v>
                </c:pt>
                <c:pt idx="146">
                  <c:v>0.65</c:v>
                </c:pt>
                <c:pt idx="147">
                  <c:v>0.65</c:v>
                </c:pt>
                <c:pt idx="148">
                  <c:v>0.65</c:v>
                </c:pt>
                <c:pt idx="149">
                  <c:v>0.65</c:v>
                </c:pt>
                <c:pt idx="150">
                  <c:v>0.65</c:v>
                </c:pt>
                <c:pt idx="151">
                  <c:v>0.65</c:v>
                </c:pt>
                <c:pt idx="152">
                  <c:v>0.65</c:v>
                </c:pt>
                <c:pt idx="153">
                  <c:v>0.65</c:v>
                </c:pt>
                <c:pt idx="154">
                  <c:v>0.65</c:v>
                </c:pt>
                <c:pt idx="155">
                  <c:v>0.65</c:v>
                </c:pt>
                <c:pt idx="156">
                  <c:v>0.65</c:v>
                </c:pt>
                <c:pt idx="157">
                  <c:v>0.65</c:v>
                </c:pt>
                <c:pt idx="158">
                  <c:v>0.65</c:v>
                </c:pt>
                <c:pt idx="159">
                  <c:v>0.65</c:v>
                </c:pt>
                <c:pt idx="160">
                  <c:v>0.65</c:v>
                </c:pt>
                <c:pt idx="161">
                  <c:v>0.65</c:v>
                </c:pt>
                <c:pt idx="162">
                  <c:v>0.65</c:v>
                </c:pt>
                <c:pt idx="163">
                  <c:v>0.65</c:v>
                </c:pt>
                <c:pt idx="164">
                  <c:v>0.65</c:v>
                </c:pt>
                <c:pt idx="165">
                  <c:v>0.65</c:v>
                </c:pt>
                <c:pt idx="166">
                  <c:v>0.65</c:v>
                </c:pt>
                <c:pt idx="167">
                  <c:v>0.65</c:v>
                </c:pt>
                <c:pt idx="168">
                  <c:v>0.65</c:v>
                </c:pt>
                <c:pt idx="169">
                  <c:v>0.65</c:v>
                </c:pt>
                <c:pt idx="170">
                  <c:v>0.65</c:v>
                </c:pt>
                <c:pt idx="171">
                  <c:v>0.65</c:v>
                </c:pt>
                <c:pt idx="172">
                  <c:v>0.65</c:v>
                </c:pt>
                <c:pt idx="173">
                  <c:v>0.65</c:v>
                </c:pt>
                <c:pt idx="174">
                  <c:v>0.65</c:v>
                </c:pt>
                <c:pt idx="175">
                  <c:v>0.65</c:v>
                </c:pt>
                <c:pt idx="176">
                  <c:v>0.65</c:v>
                </c:pt>
                <c:pt idx="177">
                  <c:v>0.65</c:v>
                </c:pt>
                <c:pt idx="178">
                  <c:v>0.65</c:v>
                </c:pt>
                <c:pt idx="179">
                  <c:v>0.65</c:v>
                </c:pt>
                <c:pt idx="180">
                  <c:v>0.65</c:v>
                </c:pt>
                <c:pt idx="181">
                  <c:v>0.65</c:v>
                </c:pt>
                <c:pt idx="182">
                  <c:v>0.65</c:v>
                </c:pt>
                <c:pt idx="183">
                  <c:v>0.65</c:v>
                </c:pt>
                <c:pt idx="184">
                  <c:v>0.65</c:v>
                </c:pt>
                <c:pt idx="185">
                  <c:v>0.65</c:v>
                </c:pt>
                <c:pt idx="186">
                  <c:v>0.65</c:v>
                </c:pt>
                <c:pt idx="187">
                  <c:v>0.65</c:v>
                </c:pt>
                <c:pt idx="188">
                  <c:v>0.65</c:v>
                </c:pt>
                <c:pt idx="189">
                  <c:v>0.65</c:v>
                </c:pt>
                <c:pt idx="190">
                  <c:v>0.65</c:v>
                </c:pt>
                <c:pt idx="191">
                  <c:v>0.65</c:v>
                </c:pt>
                <c:pt idx="192">
                  <c:v>0.65</c:v>
                </c:pt>
                <c:pt idx="193">
                  <c:v>0.65</c:v>
                </c:pt>
                <c:pt idx="194">
                  <c:v>0.65</c:v>
                </c:pt>
                <c:pt idx="195">
                  <c:v>0.65</c:v>
                </c:pt>
                <c:pt idx="196">
                  <c:v>0.65</c:v>
                </c:pt>
                <c:pt idx="197">
                  <c:v>0.65</c:v>
                </c:pt>
                <c:pt idx="198">
                  <c:v>0.65</c:v>
                </c:pt>
                <c:pt idx="199">
                  <c:v>0.65</c:v>
                </c:pt>
              </c:numCache>
            </c:numRef>
          </c:yVal>
          <c:smooth val="0"/>
        </c:ser>
        <c:ser>
          <c:idx val="16"/>
          <c:order val="4"/>
          <c:tx>
            <c:strRef>
              <c:f>协调曲线图!$D$89</c:f>
              <c:strCache>
                <c:ptCount val="1"/>
                <c:pt idx="0">
                  <c:v>--------------------20Kv母联</c:v>
                </c:pt>
              </c:strCache>
            </c:strRef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4824132308409042E-2"/>
                  <c:y val="-0.1295814356972460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FF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曲線Lever計算!$X$8:$X$207</c:f>
              <c:numCache>
                <c:formatCode>General</c:formatCode>
                <c:ptCount val="200"/>
                <c:pt idx="0">
                  <c:v>456</c:v>
                </c:pt>
                <c:pt idx="1">
                  <c:v>760</c:v>
                </c:pt>
                <c:pt idx="2">
                  <c:v>1140</c:v>
                </c:pt>
                <c:pt idx="3">
                  <c:v>1520</c:v>
                </c:pt>
                <c:pt idx="4">
                  <c:v>1900</c:v>
                </c:pt>
                <c:pt idx="5">
                  <c:v>2280</c:v>
                </c:pt>
                <c:pt idx="6">
                  <c:v>2660</c:v>
                </c:pt>
                <c:pt idx="7">
                  <c:v>3000</c:v>
                </c:pt>
                <c:pt idx="8">
                  <c:v>3000</c:v>
                </c:pt>
                <c:pt idx="9">
                  <c:v>3000</c:v>
                </c:pt>
                <c:pt idx="10">
                  <c:v>3000</c:v>
                </c:pt>
                <c:pt idx="11">
                  <c:v>3000</c:v>
                </c:pt>
                <c:pt idx="12">
                  <c:v>3000</c:v>
                </c:pt>
                <c:pt idx="13">
                  <c:v>3000</c:v>
                </c:pt>
                <c:pt idx="14">
                  <c:v>3000</c:v>
                </c:pt>
                <c:pt idx="15">
                  <c:v>3000</c:v>
                </c:pt>
                <c:pt idx="16">
                  <c:v>3000</c:v>
                </c:pt>
                <c:pt idx="17">
                  <c:v>3000</c:v>
                </c:pt>
                <c:pt idx="18">
                  <c:v>3000</c:v>
                </c:pt>
                <c:pt idx="19">
                  <c:v>3000</c:v>
                </c:pt>
                <c:pt idx="20">
                  <c:v>3000</c:v>
                </c:pt>
                <c:pt idx="21">
                  <c:v>3000</c:v>
                </c:pt>
                <c:pt idx="22">
                  <c:v>3000</c:v>
                </c:pt>
                <c:pt idx="23">
                  <c:v>3000</c:v>
                </c:pt>
                <c:pt idx="24">
                  <c:v>3000</c:v>
                </c:pt>
                <c:pt idx="25">
                  <c:v>3000</c:v>
                </c:pt>
                <c:pt idx="26">
                  <c:v>3000</c:v>
                </c:pt>
                <c:pt idx="27">
                  <c:v>3000</c:v>
                </c:pt>
                <c:pt idx="28">
                  <c:v>3000</c:v>
                </c:pt>
                <c:pt idx="29">
                  <c:v>3000</c:v>
                </c:pt>
                <c:pt idx="30">
                  <c:v>3000</c:v>
                </c:pt>
                <c:pt idx="31">
                  <c:v>3000</c:v>
                </c:pt>
                <c:pt idx="32">
                  <c:v>3000</c:v>
                </c:pt>
                <c:pt idx="33">
                  <c:v>3000</c:v>
                </c:pt>
                <c:pt idx="34">
                  <c:v>3000</c:v>
                </c:pt>
                <c:pt idx="35">
                  <c:v>3000</c:v>
                </c:pt>
                <c:pt idx="36">
                  <c:v>3000</c:v>
                </c:pt>
                <c:pt idx="37">
                  <c:v>3000</c:v>
                </c:pt>
                <c:pt idx="38">
                  <c:v>3000</c:v>
                </c:pt>
                <c:pt idx="39">
                  <c:v>3000</c:v>
                </c:pt>
                <c:pt idx="40">
                  <c:v>3000</c:v>
                </c:pt>
                <c:pt idx="41">
                  <c:v>3000</c:v>
                </c:pt>
                <c:pt idx="42">
                  <c:v>3000</c:v>
                </c:pt>
                <c:pt idx="43">
                  <c:v>3000</c:v>
                </c:pt>
                <c:pt idx="44">
                  <c:v>3000</c:v>
                </c:pt>
                <c:pt idx="45">
                  <c:v>3000</c:v>
                </c:pt>
                <c:pt idx="46">
                  <c:v>3000</c:v>
                </c:pt>
                <c:pt idx="47">
                  <c:v>3000</c:v>
                </c:pt>
                <c:pt idx="48">
                  <c:v>3000</c:v>
                </c:pt>
                <c:pt idx="49">
                  <c:v>3000</c:v>
                </c:pt>
                <c:pt idx="50">
                  <c:v>3000</c:v>
                </c:pt>
                <c:pt idx="51">
                  <c:v>3000</c:v>
                </c:pt>
                <c:pt idx="52">
                  <c:v>3000</c:v>
                </c:pt>
                <c:pt idx="53">
                  <c:v>3000</c:v>
                </c:pt>
                <c:pt idx="54">
                  <c:v>3000</c:v>
                </c:pt>
                <c:pt idx="55">
                  <c:v>3000</c:v>
                </c:pt>
                <c:pt idx="56">
                  <c:v>3000</c:v>
                </c:pt>
                <c:pt idx="57">
                  <c:v>3000</c:v>
                </c:pt>
                <c:pt idx="58">
                  <c:v>3000</c:v>
                </c:pt>
                <c:pt idx="59">
                  <c:v>3000</c:v>
                </c:pt>
                <c:pt idx="60">
                  <c:v>3000</c:v>
                </c:pt>
                <c:pt idx="61">
                  <c:v>3000</c:v>
                </c:pt>
                <c:pt idx="62">
                  <c:v>3000</c:v>
                </c:pt>
                <c:pt idx="63">
                  <c:v>3000</c:v>
                </c:pt>
                <c:pt idx="64">
                  <c:v>3000</c:v>
                </c:pt>
                <c:pt idx="65">
                  <c:v>3000</c:v>
                </c:pt>
                <c:pt idx="66">
                  <c:v>3000</c:v>
                </c:pt>
                <c:pt idx="67">
                  <c:v>3000</c:v>
                </c:pt>
                <c:pt idx="68">
                  <c:v>3000</c:v>
                </c:pt>
                <c:pt idx="69">
                  <c:v>3000</c:v>
                </c:pt>
                <c:pt idx="70">
                  <c:v>3000</c:v>
                </c:pt>
                <c:pt idx="71">
                  <c:v>3000</c:v>
                </c:pt>
                <c:pt idx="72">
                  <c:v>3000</c:v>
                </c:pt>
                <c:pt idx="73">
                  <c:v>3000</c:v>
                </c:pt>
                <c:pt idx="74">
                  <c:v>3000</c:v>
                </c:pt>
                <c:pt idx="75">
                  <c:v>3000</c:v>
                </c:pt>
                <c:pt idx="76">
                  <c:v>3000</c:v>
                </c:pt>
                <c:pt idx="77">
                  <c:v>3000</c:v>
                </c:pt>
                <c:pt idx="78">
                  <c:v>3000</c:v>
                </c:pt>
                <c:pt idx="79">
                  <c:v>3000</c:v>
                </c:pt>
                <c:pt idx="80">
                  <c:v>3000</c:v>
                </c:pt>
                <c:pt idx="81">
                  <c:v>3000</c:v>
                </c:pt>
                <c:pt idx="82">
                  <c:v>3000</c:v>
                </c:pt>
                <c:pt idx="83">
                  <c:v>3000</c:v>
                </c:pt>
                <c:pt idx="84">
                  <c:v>3000</c:v>
                </c:pt>
                <c:pt idx="85">
                  <c:v>3000</c:v>
                </c:pt>
                <c:pt idx="86">
                  <c:v>3000</c:v>
                </c:pt>
                <c:pt idx="87">
                  <c:v>3000</c:v>
                </c:pt>
                <c:pt idx="88">
                  <c:v>3000</c:v>
                </c:pt>
                <c:pt idx="89">
                  <c:v>3000</c:v>
                </c:pt>
                <c:pt idx="90">
                  <c:v>3000</c:v>
                </c:pt>
                <c:pt idx="91">
                  <c:v>3000</c:v>
                </c:pt>
                <c:pt idx="92">
                  <c:v>3000</c:v>
                </c:pt>
                <c:pt idx="93">
                  <c:v>3000</c:v>
                </c:pt>
                <c:pt idx="94">
                  <c:v>3000</c:v>
                </c:pt>
                <c:pt idx="95">
                  <c:v>3000</c:v>
                </c:pt>
                <c:pt idx="96">
                  <c:v>3000</c:v>
                </c:pt>
                <c:pt idx="97">
                  <c:v>3000</c:v>
                </c:pt>
                <c:pt idx="98">
                  <c:v>3000</c:v>
                </c:pt>
                <c:pt idx="99">
                  <c:v>3000</c:v>
                </c:pt>
                <c:pt idx="100">
                  <c:v>3000</c:v>
                </c:pt>
                <c:pt idx="101">
                  <c:v>3000</c:v>
                </c:pt>
                <c:pt idx="102">
                  <c:v>3000</c:v>
                </c:pt>
                <c:pt idx="103">
                  <c:v>3000</c:v>
                </c:pt>
                <c:pt idx="104">
                  <c:v>3000</c:v>
                </c:pt>
                <c:pt idx="105">
                  <c:v>3000</c:v>
                </c:pt>
                <c:pt idx="106">
                  <c:v>3000</c:v>
                </c:pt>
                <c:pt idx="107">
                  <c:v>3000</c:v>
                </c:pt>
                <c:pt idx="108">
                  <c:v>3000</c:v>
                </c:pt>
                <c:pt idx="109">
                  <c:v>3000</c:v>
                </c:pt>
                <c:pt idx="110">
                  <c:v>3000</c:v>
                </c:pt>
                <c:pt idx="111">
                  <c:v>3000</c:v>
                </c:pt>
                <c:pt idx="112">
                  <c:v>3000</c:v>
                </c:pt>
                <c:pt idx="113">
                  <c:v>3000</c:v>
                </c:pt>
                <c:pt idx="114">
                  <c:v>3000</c:v>
                </c:pt>
                <c:pt idx="115">
                  <c:v>3000</c:v>
                </c:pt>
                <c:pt idx="116">
                  <c:v>3000</c:v>
                </c:pt>
                <c:pt idx="117">
                  <c:v>3000</c:v>
                </c:pt>
                <c:pt idx="118">
                  <c:v>3000</c:v>
                </c:pt>
                <c:pt idx="119">
                  <c:v>3000</c:v>
                </c:pt>
                <c:pt idx="120">
                  <c:v>3000</c:v>
                </c:pt>
                <c:pt idx="121">
                  <c:v>3000</c:v>
                </c:pt>
                <c:pt idx="122">
                  <c:v>3000</c:v>
                </c:pt>
                <c:pt idx="123">
                  <c:v>3000</c:v>
                </c:pt>
                <c:pt idx="124">
                  <c:v>3000</c:v>
                </c:pt>
                <c:pt idx="125">
                  <c:v>3000</c:v>
                </c:pt>
                <c:pt idx="126">
                  <c:v>3000</c:v>
                </c:pt>
                <c:pt idx="127">
                  <c:v>3000</c:v>
                </c:pt>
                <c:pt idx="128">
                  <c:v>3000</c:v>
                </c:pt>
                <c:pt idx="129">
                  <c:v>3000</c:v>
                </c:pt>
                <c:pt idx="130">
                  <c:v>3000</c:v>
                </c:pt>
                <c:pt idx="131">
                  <c:v>3000</c:v>
                </c:pt>
                <c:pt idx="132">
                  <c:v>3000</c:v>
                </c:pt>
                <c:pt idx="133">
                  <c:v>3000</c:v>
                </c:pt>
                <c:pt idx="134">
                  <c:v>3000</c:v>
                </c:pt>
                <c:pt idx="135">
                  <c:v>3000</c:v>
                </c:pt>
                <c:pt idx="136">
                  <c:v>3000</c:v>
                </c:pt>
                <c:pt idx="137">
                  <c:v>3000</c:v>
                </c:pt>
                <c:pt idx="138">
                  <c:v>3000</c:v>
                </c:pt>
                <c:pt idx="139">
                  <c:v>3000</c:v>
                </c:pt>
                <c:pt idx="140">
                  <c:v>3000</c:v>
                </c:pt>
                <c:pt idx="141">
                  <c:v>3000</c:v>
                </c:pt>
                <c:pt idx="142">
                  <c:v>3000</c:v>
                </c:pt>
                <c:pt idx="143">
                  <c:v>3000</c:v>
                </c:pt>
                <c:pt idx="144">
                  <c:v>3000</c:v>
                </c:pt>
                <c:pt idx="145">
                  <c:v>3000</c:v>
                </c:pt>
                <c:pt idx="146">
                  <c:v>3000</c:v>
                </c:pt>
                <c:pt idx="147">
                  <c:v>3000</c:v>
                </c:pt>
                <c:pt idx="148">
                  <c:v>3000</c:v>
                </c:pt>
                <c:pt idx="149">
                  <c:v>3000</c:v>
                </c:pt>
                <c:pt idx="150">
                  <c:v>3000</c:v>
                </c:pt>
                <c:pt idx="151">
                  <c:v>3000</c:v>
                </c:pt>
                <c:pt idx="152">
                  <c:v>3000</c:v>
                </c:pt>
                <c:pt idx="153">
                  <c:v>3000</c:v>
                </c:pt>
                <c:pt idx="154">
                  <c:v>3000</c:v>
                </c:pt>
                <c:pt idx="155">
                  <c:v>3000</c:v>
                </c:pt>
                <c:pt idx="156">
                  <c:v>3000</c:v>
                </c:pt>
                <c:pt idx="157">
                  <c:v>3000</c:v>
                </c:pt>
                <c:pt idx="158">
                  <c:v>3000</c:v>
                </c:pt>
                <c:pt idx="159">
                  <c:v>3000</c:v>
                </c:pt>
                <c:pt idx="160">
                  <c:v>3000</c:v>
                </c:pt>
                <c:pt idx="161">
                  <c:v>3000</c:v>
                </c:pt>
                <c:pt idx="162">
                  <c:v>3000</c:v>
                </c:pt>
                <c:pt idx="163">
                  <c:v>3000</c:v>
                </c:pt>
                <c:pt idx="164">
                  <c:v>3000</c:v>
                </c:pt>
                <c:pt idx="165">
                  <c:v>3000</c:v>
                </c:pt>
                <c:pt idx="166">
                  <c:v>3000</c:v>
                </c:pt>
                <c:pt idx="167">
                  <c:v>3000</c:v>
                </c:pt>
                <c:pt idx="168">
                  <c:v>3000</c:v>
                </c:pt>
                <c:pt idx="169">
                  <c:v>3000</c:v>
                </c:pt>
                <c:pt idx="170">
                  <c:v>3000</c:v>
                </c:pt>
                <c:pt idx="171">
                  <c:v>3000</c:v>
                </c:pt>
                <c:pt idx="172">
                  <c:v>3000</c:v>
                </c:pt>
                <c:pt idx="173">
                  <c:v>3000</c:v>
                </c:pt>
                <c:pt idx="174">
                  <c:v>3000</c:v>
                </c:pt>
                <c:pt idx="175">
                  <c:v>3000</c:v>
                </c:pt>
                <c:pt idx="176">
                  <c:v>3000</c:v>
                </c:pt>
                <c:pt idx="177">
                  <c:v>3000</c:v>
                </c:pt>
                <c:pt idx="178">
                  <c:v>3000</c:v>
                </c:pt>
                <c:pt idx="179">
                  <c:v>3000</c:v>
                </c:pt>
                <c:pt idx="180">
                  <c:v>3000</c:v>
                </c:pt>
                <c:pt idx="181">
                  <c:v>3000</c:v>
                </c:pt>
                <c:pt idx="182">
                  <c:v>3000</c:v>
                </c:pt>
                <c:pt idx="183">
                  <c:v>3000</c:v>
                </c:pt>
                <c:pt idx="184">
                  <c:v>3000</c:v>
                </c:pt>
                <c:pt idx="185">
                  <c:v>3000</c:v>
                </c:pt>
                <c:pt idx="186">
                  <c:v>3000</c:v>
                </c:pt>
                <c:pt idx="187">
                  <c:v>3000</c:v>
                </c:pt>
                <c:pt idx="188">
                  <c:v>3000</c:v>
                </c:pt>
                <c:pt idx="189">
                  <c:v>3000</c:v>
                </c:pt>
                <c:pt idx="190">
                  <c:v>3000</c:v>
                </c:pt>
                <c:pt idx="191">
                  <c:v>3000</c:v>
                </c:pt>
                <c:pt idx="192">
                  <c:v>3000</c:v>
                </c:pt>
                <c:pt idx="193">
                  <c:v>3000</c:v>
                </c:pt>
                <c:pt idx="194">
                  <c:v>3000</c:v>
                </c:pt>
                <c:pt idx="195">
                  <c:v>3000</c:v>
                </c:pt>
                <c:pt idx="196">
                  <c:v>3000</c:v>
                </c:pt>
                <c:pt idx="197">
                  <c:v>3000</c:v>
                </c:pt>
                <c:pt idx="198">
                  <c:v>3000</c:v>
                </c:pt>
                <c:pt idx="199">
                  <c:v>76000</c:v>
                </c:pt>
              </c:numCache>
            </c:numRef>
          </c:xVal>
          <c:yVal>
            <c:numRef>
              <c:f>曲線Lever計算!$V$8:$V$207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  <c:pt idx="8">
                  <c:v>0.85</c:v>
                </c:pt>
                <c:pt idx="9">
                  <c:v>0.85</c:v>
                </c:pt>
                <c:pt idx="10">
                  <c:v>0.85</c:v>
                </c:pt>
                <c:pt idx="11">
                  <c:v>0.85</c:v>
                </c:pt>
                <c:pt idx="12">
                  <c:v>0.85</c:v>
                </c:pt>
                <c:pt idx="13">
                  <c:v>0.85</c:v>
                </c:pt>
                <c:pt idx="14">
                  <c:v>0.85</c:v>
                </c:pt>
                <c:pt idx="15">
                  <c:v>0.85</c:v>
                </c:pt>
                <c:pt idx="16">
                  <c:v>0.85</c:v>
                </c:pt>
                <c:pt idx="17">
                  <c:v>0.85</c:v>
                </c:pt>
                <c:pt idx="18">
                  <c:v>0.85</c:v>
                </c:pt>
                <c:pt idx="19">
                  <c:v>0.85</c:v>
                </c:pt>
                <c:pt idx="20">
                  <c:v>0.85</c:v>
                </c:pt>
                <c:pt idx="21">
                  <c:v>0.85</c:v>
                </c:pt>
                <c:pt idx="22">
                  <c:v>0.85</c:v>
                </c:pt>
                <c:pt idx="23">
                  <c:v>0.85</c:v>
                </c:pt>
                <c:pt idx="24">
                  <c:v>0.85</c:v>
                </c:pt>
                <c:pt idx="25">
                  <c:v>0.85</c:v>
                </c:pt>
                <c:pt idx="26">
                  <c:v>0.85</c:v>
                </c:pt>
                <c:pt idx="27">
                  <c:v>0.85</c:v>
                </c:pt>
                <c:pt idx="28">
                  <c:v>0.85</c:v>
                </c:pt>
                <c:pt idx="29">
                  <c:v>0.85</c:v>
                </c:pt>
                <c:pt idx="30">
                  <c:v>0.85</c:v>
                </c:pt>
                <c:pt idx="31">
                  <c:v>0.85</c:v>
                </c:pt>
                <c:pt idx="32">
                  <c:v>0.85</c:v>
                </c:pt>
                <c:pt idx="33">
                  <c:v>0.85</c:v>
                </c:pt>
                <c:pt idx="34">
                  <c:v>0.85</c:v>
                </c:pt>
                <c:pt idx="35">
                  <c:v>0.85</c:v>
                </c:pt>
                <c:pt idx="36">
                  <c:v>0.85</c:v>
                </c:pt>
                <c:pt idx="37">
                  <c:v>0.85</c:v>
                </c:pt>
                <c:pt idx="38">
                  <c:v>0.85</c:v>
                </c:pt>
                <c:pt idx="39">
                  <c:v>0.85</c:v>
                </c:pt>
                <c:pt idx="40">
                  <c:v>0.85</c:v>
                </c:pt>
                <c:pt idx="41">
                  <c:v>0.85</c:v>
                </c:pt>
                <c:pt idx="42">
                  <c:v>0.85</c:v>
                </c:pt>
                <c:pt idx="43">
                  <c:v>0.85</c:v>
                </c:pt>
                <c:pt idx="44">
                  <c:v>0.85</c:v>
                </c:pt>
                <c:pt idx="45">
                  <c:v>0.85</c:v>
                </c:pt>
                <c:pt idx="46">
                  <c:v>0.85</c:v>
                </c:pt>
                <c:pt idx="47">
                  <c:v>0.85</c:v>
                </c:pt>
                <c:pt idx="48">
                  <c:v>0.85</c:v>
                </c:pt>
                <c:pt idx="49">
                  <c:v>0.85</c:v>
                </c:pt>
                <c:pt idx="50">
                  <c:v>0.85</c:v>
                </c:pt>
                <c:pt idx="51">
                  <c:v>0.85</c:v>
                </c:pt>
                <c:pt idx="52">
                  <c:v>0.85</c:v>
                </c:pt>
                <c:pt idx="53">
                  <c:v>0.85</c:v>
                </c:pt>
                <c:pt idx="54">
                  <c:v>0.85</c:v>
                </c:pt>
                <c:pt idx="55">
                  <c:v>0.85</c:v>
                </c:pt>
                <c:pt idx="56">
                  <c:v>0.85</c:v>
                </c:pt>
                <c:pt idx="57">
                  <c:v>0.85</c:v>
                </c:pt>
                <c:pt idx="58">
                  <c:v>0.85</c:v>
                </c:pt>
                <c:pt idx="59">
                  <c:v>0.85</c:v>
                </c:pt>
                <c:pt idx="60">
                  <c:v>0.85</c:v>
                </c:pt>
                <c:pt idx="61">
                  <c:v>0.85</c:v>
                </c:pt>
                <c:pt idx="62">
                  <c:v>0.85</c:v>
                </c:pt>
                <c:pt idx="63">
                  <c:v>0.85</c:v>
                </c:pt>
                <c:pt idx="64">
                  <c:v>0.85</c:v>
                </c:pt>
                <c:pt idx="65">
                  <c:v>0.85</c:v>
                </c:pt>
                <c:pt idx="66">
                  <c:v>0.85</c:v>
                </c:pt>
                <c:pt idx="67">
                  <c:v>0.85</c:v>
                </c:pt>
                <c:pt idx="68">
                  <c:v>0.85</c:v>
                </c:pt>
                <c:pt idx="69">
                  <c:v>0.85</c:v>
                </c:pt>
                <c:pt idx="70">
                  <c:v>0.85</c:v>
                </c:pt>
                <c:pt idx="71">
                  <c:v>0.85</c:v>
                </c:pt>
                <c:pt idx="72">
                  <c:v>0.85</c:v>
                </c:pt>
                <c:pt idx="73">
                  <c:v>0.85</c:v>
                </c:pt>
                <c:pt idx="74">
                  <c:v>0.85</c:v>
                </c:pt>
                <c:pt idx="75">
                  <c:v>0.85</c:v>
                </c:pt>
                <c:pt idx="76">
                  <c:v>0.85</c:v>
                </c:pt>
                <c:pt idx="77">
                  <c:v>0.85</c:v>
                </c:pt>
                <c:pt idx="78">
                  <c:v>0.85</c:v>
                </c:pt>
                <c:pt idx="79">
                  <c:v>0.85</c:v>
                </c:pt>
                <c:pt idx="80">
                  <c:v>0.85</c:v>
                </c:pt>
                <c:pt idx="81">
                  <c:v>0.85</c:v>
                </c:pt>
                <c:pt idx="82">
                  <c:v>0.85</c:v>
                </c:pt>
                <c:pt idx="83">
                  <c:v>0.85</c:v>
                </c:pt>
                <c:pt idx="84">
                  <c:v>0.85</c:v>
                </c:pt>
                <c:pt idx="85">
                  <c:v>0.85</c:v>
                </c:pt>
                <c:pt idx="86">
                  <c:v>0.85</c:v>
                </c:pt>
                <c:pt idx="87">
                  <c:v>0.85</c:v>
                </c:pt>
                <c:pt idx="88">
                  <c:v>0.85</c:v>
                </c:pt>
                <c:pt idx="89">
                  <c:v>0.85</c:v>
                </c:pt>
                <c:pt idx="90">
                  <c:v>0.85</c:v>
                </c:pt>
                <c:pt idx="91">
                  <c:v>0.85</c:v>
                </c:pt>
                <c:pt idx="92">
                  <c:v>0.85</c:v>
                </c:pt>
                <c:pt idx="93">
                  <c:v>0.85</c:v>
                </c:pt>
                <c:pt idx="94">
                  <c:v>0.85</c:v>
                </c:pt>
                <c:pt idx="95">
                  <c:v>0.85</c:v>
                </c:pt>
                <c:pt idx="96">
                  <c:v>0.85</c:v>
                </c:pt>
                <c:pt idx="97">
                  <c:v>0.85</c:v>
                </c:pt>
                <c:pt idx="98">
                  <c:v>0.85</c:v>
                </c:pt>
                <c:pt idx="99">
                  <c:v>0.85</c:v>
                </c:pt>
                <c:pt idx="100">
                  <c:v>0.85</c:v>
                </c:pt>
                <c:pt idx="101">
                  <c:v>0.85</c:v>
                </c:pt>
                <c:pt idx="102">
                  <c:v>0.85</c:v>
                </c:pt>
                <c:pt idx="103">
                  <c:v>0.85</c:v>
                </c:pt>
                <c:pt idx="104">
                  <c:v>0.85</c:v>
                </c:pt>
                <c:pt idx="105">
                  <c:v>0.85</c:v>
                </c:pt>
                <c:pt idx="106">
                  <c:v>0.85</c:v>
                </c:pt>
                <c:pt idx="107">
                  <c:v>0.85</c:v>
                </c:pt>
                <c:pt idx="108">
                  <c:v>0.85</c:v>
                </c:pt>
                <c:pt idx="109">
                  <c:v>0.85</c:v>
                </c:pt>
                <c:pt idx="110">
                  <c:v>0.85</c:v>
                </c:pt>
                <c:pt idx="111">
                  <c:v>0.85</c:v>
                </c:pt>
                <c:pt idx="112">
                  <c:v>0.85</c:v>
                </c:pt>
                <c:pt idx="113">
                  <c:v>0.85</c:v>
                </c:pt>
                <c:pt idx="114">
                  <c:v>0.85</c:v>
                </c:pt>
                <c:pt idx="115">
                  <c:v>0.85</c:v>
                </c:pt>
                <c:pt idx="116">
                  <c:v>0.85</c:v>
                </c:pt>
                <c:pt idx="117">
                  <c:v>0.85</c:v>
                </c:pt>
                <c:pt idx="118">
                  <c:v>0.85</c:v>
                </c:pt>
                <c:pt idx="119">
                  <c:v>0.85</c:v>
                </c:pt>
                <c:pt idx="120">
                  <c:v>0.85</c:v>
                </c:pt>
                <c:pt idx="121">
                  <c:v>0.85</c:v>
                </c:pt>
                <c:pt idx="122">
                  <c:v>0.85</c:v>
                </c:pt>
                <c:pt idx="123">
                  <c:v>0.85</c:v>
                </c:pt>
                <c:pt idx="124">
                  <c:v>0.85</c:v>
                </c:pt>
                <c:pt idx="125">
                  <c:v>0.85</c:v>
                </c:pt>
                <c:pt idx="126">
                  <c:v>0.85</c:v>
                </c:pt>
                <c:pt idx="127">
                  <c:v>0.85</c:v>
                </c:pt>
                <c:pt idx="128">
                  <c:v>0.85</c:v>
                </c:pt>
                <c:pt idx="129">
                  <c:v>0.85</c:v>
                </c:pt>
                <c:pt idx="130">
                  <c:v>0.85</c:v>
                </c:pt>
                <c:pt idx="131">
                  <c:v>0.85</c:v>
                </c:pt>
                <c:pt idx="132">
                  <c:v>0.85</c:v>
                </c:pt>
                <c:pt idx="133">
                  <c:v>0.85</c:v>
                </c:pt>
                <c:pt idx="134">
                  <c:v>0.85</c:v>
                </c:pt>
                <c:pt idx="135">
                  <c:v>0.85</c:v>
                </c:pt>
                <c:pt idx="136">
                  <c:v>0.85</c:v>
                </c:pt>
                <c:pt idx="137">
                  <c:v>0.85</c:v>
                </c:pt>
                <c:pt idx="138">
                  <c:v>0.85</c:v>
                </c:pt>
                <c:pt idx="139">
                  <c:v>0.85</c:v>
                </c:pt>
                <c:pt idx="140">
                  <c:v>0.85</c:v>
                </c:pt>
                <c:pt idx="141">
                  <c:v>0.85</c:v>
                </c:pt>
                <c:pt idx="142">
                  <c:v>0.85</c:v>
                </c:pt>
                <c:pt idx="143">
                  <c:v>0.85</c:v>
                </c:pt>
                <c:pt idx="144">
                  <c:v>0.85</c:v>
                </c:pt>
                <c:pt idx="145">
                  <c:v>0.85</c:v>
                </c:pt>
                <c:pt idx="146">
                  <c:v>0.85</c:v>
                </c:pt>
                <c:pt idx="147">
                  <c:v>0.85</c:v>
                </c:pt>
                <c:pt idx="148">
                  <c:v>0.85</c:v>
                </c:pt>
                <c:pt idx="149">
                  <c:v>0.85</c:v>
                </c:pt>
                <c:pt idx="150">
                  <c:v>0.85</c:v>
                </c:pt>
                <c:pt idx="151">
                  <c:v>0.85</c:v>
                </c:pt>
                <c:pt idx="152">
                  <c:v>0.85</c:v>
                </c:pt>
                <c:pt idx="153">
                  <c:v>0.85</c:v>
                </c:pt>
                <c:pt idx="154">
                  <c:v>0.85</c:v>
                </c:pt>
                <c:pt idx="155">
                  <c:v>0.85</c:v>
                </c:pt>
                <c:pt idx="156">
                  <c:v>0.85</c:v>
                </c:pt>
                <c:pt idx="157">
                  <c:v>0.85</c:v>
                </c:pt>
                <c:pt idx="158">
                  <c:v>0.85</c:v>
                </c:pt>
                <c:pt idx="159">
                  <c:v>0.85</c:v>
                </c:pt>
                <c:pt idx="160">
                  <c:v>0.85</c:v>
                </c:pt>
                <c:pt idx="161">
                  <c:v>0.85</c:v>
                </c:pt>
                <c:pt idx="162">
                  <c:v>0.85</c:v>
                </c:pt>
                <c:pt idx="163">
                  <c:v>0.85</c:v>
                </c:pt>
                <c:pt idx="164">
                  <c:v>0.85</c:v>
                </c:pt>
                <c:pt idx="165">
                  <c:v>0.85</c:v>
                </c:pt>
                <c:pt idx="166">
                  <c:v>0.85</c:v>
                </c:pt>
                <c:pt idx="167">
                  <c:v>0.85</c:v>
                </c:pt>
                <c:pt idx="168">
                  <c:v>0.85</c:v>
                </c:pt>
                <c:pt idx="169">
                  <c:v>0.85</c:v>
                </c:pt>
                <c:pt idx="170">
                  <c:v>0.85</c:v>
                </c:pt>
                <c:pt idx="171">
                  <c:v>0.85</c:v>
                </c:pt>
                <c:pt idx="172">
                  <c:v>0.85</c:v>
                </c:pt>
                <c:pt idx="173">
                  <c:v>0.85</c:v>
                </c:pt>
                <c:pt idx="174">
                  <c:v>0.85</c:v>
                </c:pt>
                <c:pt idx="175">
                  <c:v>0.85</c:v>
                </c:pt>
                <c:pt idx="176">
                  <c:v>0.85</c:v>
                </c:pt>
                <c:pt idx="177">
                  <c:v>0.85</c:v>
                </c:pt>
                <c:pt idx="178">
                  <c:v>0.85</c:v>
                </c:pt>
                <c:pt idx="179">
                  <c:v>0.85</c:v>
                </c:pt>
                <c:pt idx="180">
                  <c:v>0.85</c:v>
                </c:pt>
                <c:pt idx="181">
                  <c:v>0.85</c:v>
                </c:pt>
                <c:pt idx="182">
                  <c:v>0.85</c:v>
                </c:pt>
                <c:pt idx="183">
                  <c:v>0.85</c:v>
                </c:pt>
                <c:pt idx="184">
                  <c:v>0.85</c:v>
                </c:pt>
                <c:pt idx="185">
                  <c:v>0.85</c:v>
                </c:pt>
                <c:pt idx="186">
                  <c:v>0.85</c:v>
                </c:pt>
                <c:pt idx="187">
                  <c:v>0.85</c:v>
                </c:pt>
                <c:pt idx="188">
                  <c:v>0.85</c:v>
                </c:pt>
                <c:pt idx="189">
                  <c:v>0.85</c:v>
                </c:pt>
                <c:pt idx="190">
                  <c:v>0.85</c:v>
                </c:pt>
                <c:pt idx="191">
                  <c:v>0.85</c:v>
                </c:pt>
                <c:pt idx="192">
                  <c:v>0.85</c:v>
                </c:pt>
                <c:pt idx="193">
                  <c:v>0.85</c:v>
                </c:pt>
                <c:pt idx="194">
                  <c:v>0.85</c:v>
                </c:pt>
                <c:pt idx="195">
                  <c:v>0.85</c:v>
                </c:pt>
                <c:pt idx="196">
                  <c:v>0.85</c:v>
                </c:pt>
                <c:pt idx="197">
                  <c:v>0.85</c:v>
                </c:pt>
                <c:pt idx="198">
                  <c:v>0.85</c:v>
                </c:pt>
                <c:pt idx="199">
                  <c:v>0.85</c:v>
                </c:pt>
              </c:numCache>
            </c:numRef>
          </c:yVal>
          <c:smooth val="0"/>
        </c:ser>
        <c:ser>
          <c:idx val="17"/>
          <c:order val="5"/>
          <c:tx>
            <c:strRef>
              <c:f>协调曲线图!$D$90</c:f>
              <c:strCache>
                <c:ptCount val="1"/>
                <c:pt idx="0">
                  <c:v>--------------------20Kv进线</c:v>
                </c:pt>
              </c:strCache>
            </c:strRef>
          </c:tx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9.1893780573025829E-2"/>
                  <c:y val="-0.1100628930817610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8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曲線Lever計算!$AC$8:$AC$207</c:f>
              <c:numCache>
                <c:formatCode>General</c:formatCode>
                <c:ptCount val="200"/>
                <c:pt idx="0">
                  <c:v>600</c:v>
                </c:pt>
                <c:pt idx="1">
                  <c:v>1000</c:v>
                </c:pt>
                <c:pt idx="2">
                  <c:v>1500</c:v>
                </c:pt>
                <c:pt idx="3">
                  <c:v>2000</c:v>
                </c:pt>
                <c:pt idx="4">
                  <c:v>2500</c:v>
                </c:pt>
                <c:pt idx="5">
                  <c:v>3000</c:v>
                </c:pt>
                <c:pt idx="6">
                  <c:v>3500</c:v>
                </c:pt>
                <c:pt idx="7">
                  <c:v>4000</c:v>
                </c:pt>
                <c:pt idx="8">
                  <c:v>4500</c:v>
                </c:pt>
                <c:pt idx="9">
                  <c:v>5000</c:v>
                </c:pt>
                <c:pt idx="10">
                  <c:v>5000</c:v>
                </c:pt>
                <c:pt idx="11">
                  <c:v>5000</c:v>
                </c:pt>
                <c:pt idx="12">
                  <c:v>5000</c:v>
                </c:pt>
                <c:pt idx="13">
                  <c:v>5000</c:v>
                </c:pt>
                <c:pt idx="14">
                  <c:v>5000</c:v>
                </c:pt>
                <c:pt idx="15">
                  <c:v>5000</c:v>
                </c:pt>
                <c:pt idx="16">
                  <c:v>5000</c:v>
                </c:pt>
                <c:pt idx="17">
                  <c:v>5000</c:v>
                </c:pt>
                <c:pt idx="18">
                  <c:v>5000</c:v>
                </c:pt>
                <c:pt idx="19">
                  <c:v>5000</c:v>
                </c:pt>
                <c:pt idx="20">
                  <c:v>5000</c:v>
                </c:pt>
                <c:pt idx="21">
                  <c:v>5000</c:v>
                </c:pt>
                <c:pt idx="22">
                  <c:v>5000</c:v>
                </c:pt>
                <c:pt idx="23">
                  <c:v>5000</c:v>
                </c:pt>
                <c:pt idx="24">
                  <c:v>5000</c:v>
                </c:pt>
                <c:pt idx="25">
                  <c:v>5000</c:v>
                </c:pt>
                <c:pt idx="26">
                  <c:v>5000</c:v>
                </c:pt>
                <c:pt idx="27">
                  <c:v>5000</c:v>
                </c:pt>
                <c:pt idx="28">
                  <c:v>5000</c:v>
                </c:pt>
                <c:pt idx="29">
                  <c:v>5000</c:v>
                </c:pt>
                <c:pt idx="30">
                  <c:v>5000</c:v>
                </c:pt>
                <c:pt idx="31">
                  <c:v>5000</c:v>
                </c:pt>
                <c:pt idx="32">
                  <c:v>5000</c:v>
                </c:pt>
                <c:pt idx="33">
                  <c:v>5000</c:v>
                </c:pt>
                <c:pt idx="34">
                  <c:v>5000</c:v>
                </c:pt>
                <c:pt idx="35">
                  <c:v>5000</c:v>
                </c:pt>
                <c:pt idx="36">
                  <c:v>5000</c:v>
                </c:pt>
                <c:pt idx="37">
                  <c:v>5000</c:v>
                </c:pt>
                <c:pt idx="38">
                  <c:v>5000</c:v>
                </c:pt>
                <c:pt idx="39">
                  <c:v>5000</c:v>
                </c:pt>
                <c:pt idx="40">
                  <c:v>5000</c:v>
                </c:pt>
                <c:pt idx="41">
                  <c:v>5000</c:v>
                </c:pt>
                <c:pt idx="42">
                  <c:v>5000</c:v>
                </c:pt>
                <c:pt idx="43">
                  <c:v>5000</c:v>
                </c:pt>
                <c:pt idx="44">
                  <c:v>5000</c:v>
                </c:pt>
                <c:pt idx="45">
                  <c:v>5000</c:v>
                </c:pt>
                <c:pt idx="46">
                  <c:v>5000</c:v>
                </c:pt>
                <c:pt idx="47">
                  <c:v>5000</c:v>
                </c:pt>
                <c:pt idx="48">
                  <c:v>5000</c:v>
                </c:pt>
                <c:pt idx="49">
                  <c:v>5000</c:v>
                </c:pt>
                <c:pt idx="50">
                  <c:v>5000</c:v>
                </c:pt>
                <c:pt idx="51">
                  <c:v>5000</c:v>
                </c:pt>
                <c:pt idx="52">
                  <c:v>5000</c:v>
                </c:pt>
                <c:pt idx="53">
                  <c:v>5000</c:v>
                </c:pt>
                <c:pt idx="54">
                  <c:v>5000</c:v>
                </c:pt>
                <c:pt idx="55">
                  <c:v>5000</c:v>
                </c:pt>
                <c:pt idx="56">
                  <c:v>5000</c:v>
                </c:pt>
                <c:pt idx="57">
                  <c:v>5000</c:v>
                </c:pt>
                <c:pt idx="58">
                  <c:v>5000</c:v>
                </c:pt>
                <c:pt idx="59">
                  <c:v>5000</c:v>
                </c:pt>
                <c:pt idx="60">
                  <c:v>5000</c:v>
                </c:pt>
                <c:pt idx="61">
                  <c:v>5000</c:v>
                </c:pt>
                <c:pt idx="62">
                  <c:v>5000</c:v>
                </c:pt>
                <c:pt idx="63">
                  <c:v>5000</c:v>
                </c:pt>
                <c:pt idx="64">
                  <c:v>5000</c:v>
                </c:pt>
                <c:pt idx="65">
                  <c:v>5000</c:v>
                </c:pt>
                <c:pt idx="66">
                  <c:v>5000</c:v>
                </c:pt>
                <c:pt idx="67">
                  <c:v>5000</c:v>
                </c:pt>
                <c:pt idx="68">
                  <c:v>5000</c:v>
                </c:pt>
                <c:pt idx="69">
                  <c:v>5000</c:v>
                </c:pt>
                <c:pt idx="70">
                  <c:v>5000</c:v>
                </c:pt>
                <c:pt idx="71">
                  <c:v>5000</c:v>
                </c:pt>
                <c:pt idx="72">
                  <c:v>5000</c:v>
                </c:pt>
                <c:pt idx="73">
                  <c:v>5000</c:v>
                </c:pt>
                <c:pt idx="74">
                  <c:v>5000</c:v>
                </c:pt>
                <c:pt idx="75">
                  <c:v>5000</c:v>
                </c:pt>
                <c:pt idx="76">
                  <c:v>5000</c:v>
                </c:pt>
                <c:pt idx="77">
                  <c:v>5000</c:v>
                </c:pt>
                <c:pt idx="78">
                  <c:v>5000</c:v>
                </c:pt>
                <c:pt idx="79">
                  <c:v>5000</c:v>
                </c:pt>
                <c:pt idx="80">
                  <c:v>5000</c:v>
                </c:pt>
                <c:pt idx="81">
                  <c:v>5000</c:v>
                </c:pt>
                <c:pt idx="82">
                  <c:v>5000</c:v>
                </c:pt>
                <c:pt idx="83">
                  <c:v>5000</c:v>
                </c:pt>
                <c:pt idx="84">
                  <c:v>5000</c:v>
                </c:pt>
                <c:pt idx="85">
                  <c:v>5000</c:v>
                </c:pt>
                <c:pt idx="86">
                  <c:v>5000</c:v>
                </c:pt>
                <c:pt idx="87">
                  <c:v>5000</c:v>
                </c:pt>
                <c:pt idx="88">
                  <c:v>5000</c:v>
                </c:pt>
                <c:pt idx="89">
                  <c:v>5000</c:v>
                </c:pt>
                <c:pt idx="90">
                  <c:v>5000</c:v>
                </c:pt>
                <c:pt idx="91">
                  <c:v>5000</c:v>
                </c:pt>
                <c:pt idx="92">
                  <c:v>5000</c:v>
                </c:pt>
                <c:pt idx="93">
                  <c:v>5000</c:v>
                </c:pt>
                <c:pt idx="94">
                  <c:v>5000</c:v>
                </c:pt>
                <c:pt idx="95">
                  <c:v>5000</c:v>
                </c:pt>
                <c:pt idx="96">
                  <c:v>5000</c:v>
                </c:pt>
                <c:pt idx="97">
                  <c:v>5000</c:v>
                </c:pt>
                <c:pt idx="98">
                  <c:v>5000</c:v>
                </c:pt>
                <c:pt idx="99">
                  <c:v>5000</c:v>
                </c:pt>
                <c:pt idx="100">
                  <c:v>5000</c:v>
                </c:pt>
                <c:pt idx="101">
                  <c:v>5000</c:v>
                </c:pt>
                <c:pt idx="102">
                  <c:v>5000</c:v>
                </c:pt>
                <c:pt idx="103">
                  <c:v>5000</c:v>
                </c:pt>
                <c:pt idx="104">
                  <c:v>5000</c:v>
                </c:pt>
                <c:pt idx="105">
                  <c:v>5000</c:v>
                </c:pt>
                <c:pt idx="106">
                  <c:v>5000</c:v>
                </c:pt>
                <c:pt idx="107">
                  <c:v>5000</c:v>
                </c:pt>
                <c:pt idx="108">
                  <c:v>5000</c:v>
                </c:pt>
                <c:pt idx="109">
                  <c:v>5000</c:v>
                </c:pt>
                <c:pt idx="110">
                  <c:v>5000</c:v>
                </c:pt>
                <c:pt idx="111">
                  <c:v>5000</c:v>
                </c:pt>
                <c:pt idx="112">
                  <c:v>5000</c:v>
                </c:pt>
                <c:pt idx="113">
                  <c:v>5000</c:v>
                </c:pt>
                <c:pt idx="114">
                  <c:v>5000</c:v>
                </c:pt>
                <c:pt idx="115">
                  <c:v>5000</c:v>
                </c:pt>
                <c:pt idx="116">
                  <c:v>5000</c:v>
                </c:pt>
                <c:pt idx="117">
                  <c:v>5000</c:v>
                </c:pt>
                <c:pt idx="118">
                  <c:v>5000</c:v>
                </c:pt>
                <c:pt idx="119">
                  <c:v>5000</c:v>
                </c:pt>
                <c:pt idx="120">
                  <c:v>5000</c:v>
                </c:pt>
                <c:pt idx="121">
                  <c:v>5000</c:v>
                </c:pt>
                <c:pt idx="122">
                  <c:v>5000</c:v>
                </c:pt>
                <c:pt idx="123">
                  <c:v>5000</c:v>
                </c:pt>
                <c:pt idx="124">
                  <c:v>5000</c:v>
                </c:pt>
                <c:pt idx="125">
                  <c:v>5000</c:v>
                </c:pt>
                <c:pt idx="126">
                  <c:v>5000</c:v>
                </c:pt>
                <c:pt idx="127">
                  <c:v>5000</c:v>
                </c:pt>
                <c:pt idx="128">
                  <c:v>5000</c:v>
                </c:pt>
                <c:pt idx="129">
                  <c:v>5000</c:v>
                </c:pt>
                <c:pt idx="130">
                  <c:v>5000</c:v>
                </c:pt>
                <c:pt idx="131">
                  <c:v>5000</c:v>
                </c:pt>
                <c:pt idx="132">
                  <c:v>5000</c:v>
                </c:pt>
                <c:pt idx="133">
                  <c:v>5000</c:v>
                </c:pt>
                <c:pt idx="134">
                  <c:v>5000</c:v>
                </c:pt>
                <c:pt idx="135">
                  <c:v>5000</c:v>
                </c:pt>
                <c:pt idx="136">
                  <c:v>5000</c:v>
                </c:pt>
                <c:pt idx="137">
                  <c:v>5000</c:v>
                </c:pt>
                <c:pt idx="138">
                  <c:v>5000</c:v>
                </c:pt>
                <c:pt idx="139">
                  <c:v>5000</c:v>
                </c:pt>
                <c:pt idx="140">
                  <c:v>5000</c:v>
                </c:pt>
                <c:pt idx="141">
                  <c:v>5000</c:v>
                </c:pt>
                <c:pt idx="142">
                  <c:v>5000</c:v>
                </c:pt>
                <c:pt idx="143">
                  <c:v>5000</c:v>
                </c:pt>
                <c:pt idx="144">
                  <c:v>5000</c:v>
                </c:pt>
                <c:pt idx="145">
                  <c:v>5000</c:v>
                </c:pt>
                <c:pt idx="146">
                  <c:v>5000</c:v>
                </c:pt>
                <c:pt idx="147">
                  <c:v>5000</c:v>
                </c:pt>
                <c:pt idx="148">
                  <c:v>5000</c:v>
                </c:pt>
                <c:pt idx="149">
                  <c:v>5000</c:v>
                </c:pt>
                <c:pt idx="150">
                  <c:v>5000</c:v>
                </c:pt>
                <c:pt idx="151">
                  <c:v>5000</c:v>
                </c:pt>
                <c:pt idx="152">
                  <c:v>5000</c:v>
                </c:pt>
                <c:pt idx="153">
                  <c:v>5000</c:v>
                </c:pt>
                <c:pt idx="154">
                  <c:v>5000</c:v>
                </c:pt>
                <c:pt idx="155">
                  <c:v>5000</c:v>
                </c:pt>
                <c:pt idx="156">
                  <c:v>5000</c:v>
                </c:pt>
                <c:pt idx="157">
                  <c:v>5000</c:v>
                </c:pt>
                <c:pt idx="158">
                  <c:v>5000</c:v>
                </c:pt>
                <c:pt idx="159">
                  <c:v>5000</c:v>
                </c:pt>
                <c:pt idx="160">
                  <c:v>5000</c:v>
                </c:pt>
                <c:pt idx="161">
                  <c:v>5000</c:v>
                </c:pt>
                <c:pt idx="162">
                  <c:v>5000</c:v>
                </c:pt>
                <c:pt idx="163">
                  <c:v>5000</c:v>
                </c:pt>
                <c:pt idx="164">
                  <c:v>5000</c:v>
                </c:pt>
                <c:pt idx="165">
                  <c:v>5000</c:v>
                </c:pt>
                <c:pt idx="166">
                  <c:v>5000</c:v>
                </c:pt>
                <c:pt idx="167">
                  <c:v>5000</c:v>
                </c:pt>
                <c:pt idx="168">
                  <c:v>5000</c:v>
                </c:pt>
                <c:pt idx="169">
                  <c:v>5000</c:v>
                </c:pt>
                <c:pt idx="170">
                  <c:v>5000</c:v>
                </c:pt>
                <c:pt idx="171">
                  <c:v>5000</c:v>
                </c:pt>
                <c:pt idx="172">
                  <c:v>5000</c:v>
                </c:pt>
                <c:pt idx="173">
                  <c:v>5000</c:v>
                </c:pt>
                <c:pt idx="174">
                  <c:v>5000</c:v>
                </c:pt>
                <c:pt idx="175">
                  <c:v>5000</c:v>
                </c:pt>
                <c:pt idx="176">
                  <c:v>5000</c:v>
                </c:pt>
                <c:pt idx="177">
                  <c:v>5000</c:v>
                </c:pt>
                <c:pt idx="178">
                  <c:v>5000</c:v>
                </c:pt>
                <c:pt idx="179">
                  <c:v>5000</c:v>
                </c:pt>
                <c:pt idx="180">
                  <c:v>5000</c:v>
                </c:pt>
                <c:pt idx="181">
                  <c:v>5000</c:v>
                </c:pt>
                <c:pt idx="182">
                  <c:v>5000</c:v>
                </c:pt>
                <c:pt idx="183">
                  <c:v>5000</c:v>
                </c:pt>
                <c:pt idx="184">
                  <c:v>5000</c:v>
                </c:pt>
                <c:pt idx="185">
                  <c:v>5000</c:v>
                </c:pt>
                <c:pt idx="186">
                  <c:v>5000</c:v>
                </c:pt>
                <c:pt idx="187">
                  <c:v>5000</c:v>
                </c:pt>
                <c:pt idx="188">
                  <c:v>5000</c:v>
                </c:pt>
                <c:pt idx="189">
                  <c:v>5000</c:v>
                </c:pt>
                <c:pt idx="190">
                  <c:v>5000</c:v>
                </c:pt>
                <c:pt idx="191">
                  <c:v>5000</c:v>
                </c:pt>
                <c:pt idx="192">
                  <c:v>5000</c:v>
                </c:pt>
                <c:pt idx="193">
                  <c:v>5000</c:v>
                </c:pt>
                <c:pt idx="194">
                  <c:v>5000</c:v>
                </c:pt>
                <c:pt idx="195">
                  <c:v>5000</c:v>
                </c:pt>
                <c:pt idx="196">
                  <c:v>5000</c:v>
                </c:pt>
                <c:pt idx="197">
                  <c:v>5000</c:v>
                </c:pt>
                <c:pt idx="198">
                  <c:v>5000</c:v>
                </c:pt>
                <c:pt idx="199">
                  <c:v>100000</c:v>
                </c:pt>
              </c:numCache>
            </c:numRef>
          </c:xVal>
          <c:yVal>
            <c:numRef>
              <c:f>曲線Lever計算!$AA$8:$AA$207</c:f>
              <c:numCache>
                <c:formatCode>General</c:formatCode>
                <c:ptCount val="200"/>
                <c:pt idx="0">
                  <c:v>22.502250225022504</c:v>
                </c:pt>
                <c:pt idx="1">
                  <c:v>3.3003300330033003</c:v>
                </c:pt>
                <c:pt idx="2">
                  <c:v>1.2376237623762376</c:v>
                </c:pt>
                <c:pt idx="3">
                  <c:v>1.05</c:v>
                </c:pt>
                <c:pt idx="4">
                  <c:v>1.05</c:v>
                </c:pt>
                <c:pt idx="5">
                  <c:v>1.05</c:v>
                </c:pt>
                <c:pt idx="6">
                  <c:v>1.05</c:v>
                </c:pt>
                <c:pt idx="7">
                  <c:v>1.05</c:v>
                </c:pt>
                <c:pt idx="8">
                  <c:v>1.05</c:v>
                </c:pt>
                <c:pt idx="9">
                  <c:v>1.05</c:v>
                </c:pt>
                <c:pt idx="10">
                  <c:v>1.05</c:v>
                </c:pt>
                <c:pt idx="11">
                  <c:v>1.05</c:v>
                </c:pt>
                <c:pt idx="12">
                  <c:v>1.05</c:v>
                </c:pt>
                <c:pt idx="13">
                  <c:v>1.05</c:v>
                </c:pt>
                <c:pt idx="14">
                  <c:v>1.05</c:v>
                </c:pt>
                <c:pt idx="15">
                  <c:v>1.05</c:v>
                </c:pt>
                <c:pt idx="16">
                  <c:v>1.05</c:v>
                </c:pt>
                <c:pt idx="17">
                  <c:v>1.05</c:v>
                </c:pt>
                <c:pt idx="18">
                  <c:v>1.05</c:v>
                </c:pt>
                <c:pt idx="19">
                  <c:v>1.05</c:v>
                </c:pt>
                <c:pt idx="20">
                  <c:v>1.05</c:v>
                </c:pt>
                <c:pt idx="21">
                  <c:v>1.05</c:v>
                </c:pt>
                <c:pt idx="22">
                  <c:v>1.05</c:v>
                </c:pt>
                <c:pt idx="23">
                  <c:v>1.05</c:v>
                </c:pt>
                <c:pt idx="24">
                  <c:v>1.05</c:v>
                </c:pt>
                <c:pt idx="25">
                  <c:v>1.05</c:v>
                </c:pt>
                <c:pt idx="26">
                  <c:v>1.05</c:v>
                </c:pt>
                <c:pt idx="27">
                  <c:v>1.05</c:v>
                </c:pt>
                <c:pt idx="28">
                  <c:v>1.05</c:v>
                </c:pt>
                <c:pt idx="29">
                  <c:v>1.05</c:v>
                </c:pt>
                <c:pt idx="30">
                  <c:v>1.05</c:v>
                </c:pt>
                <c:pt idx="31">
                  <c:v>1.05</c:v>
                </c:pt>
                <c:pt idx="32">
                  <c:v>1.05</c:v>
                </c:pt>
                <c:pt idx="33">
                  <c:v>1.05</c:v>
                </c:pt>
                <c:pt idx="34">
                  <c:v>1.05</c:v>
                </c:pt>
                <c:pt idx="35">
                  <c:v>1.05</c:v>
                </c:pt>
                <c:pt idx="36">
                  <c:v>1.05</c:v>
                </c:pt>
                <c:pt idx="37">
                  <c:v>1.05</c:v>
                </c:pt>
                <c:pt idx="38">
                  <c:v>1.05</c:v>
                </c:pt>
                <c:pt idx="39">
                  <c:v>1.05</c:v>
                </c:pt>
                <c:pt idx="40">
                  <c:v>1.05</c:v>
                </c:pt>
                <c:pt idx="41">
                  <c:v>1.05</c:v>
                </c:pt>
                <c:pt idx="42">
                  <c:v>1.05</c:v>
                </c:pt>
                <c:pt idx="43">
                  <c:v>1.05</c:v>
                </c:pt>
                <c:pt idx="44">
                  <c:v>1.05</c:v>
                </c:pt>
                <c:pt idx="45">
                  <c:v>1.05</c:v>
                </c:pt>
                <c:pt idx="46">
                  <c:v>1.05</c:v>
                </c:pt>
                <c:pt idx="47">
                  <c:v>1.05</c:v>
                </c:pt>
                <c:pt idx="48">
                  <c:v>1.05</c:v>
                </c:pt>
                <c:pt idx="49">
                  <c:v>1.05</c:v>
                </c:pt>
                <c:pt idx="50">
                  <c:v>1.05</c:v>
                </c:pt>
                <c:pt idx="51">
                  <c:v>1.05</c:v>
                </c:pt>
                <c:pt idx="52">
                  <c:v>1.05</c:v>
                </c:pt>
                <c:pt idx="53">
                  <c:v>1.05</c:v>
                </c:pt>
                <c:pt idx="54">
                  <c:v>1.05</c:v>
                </c:pt>
                <c:pt idx="55">
                  <c:v>1.05</c:v>
                </c:pt>
                <c:pt idx="56">
                  <c:v>1.05</c:v>
                </c:pt>
                <c:pt idx="57">
                  <c:v>1.05</c:v>
                </c:pt>
                <c:pt idx="58">
                  <c:v>1.05</c:v>
                </c:pt>
                <c:pt idx="59">
                  <c:v>1.05</c:v>
                </c:pt>
                <c:pt idx="60">
                  <c:v>1.05</c:v>
                </c:pt>
                <c:pt idx="61">
                  <c:v>1.05</c:v>
                </c:pt>
                <c:pt idx="62">
                  <c:v>1.05</c:v>
                </c:pt>
                <c:pt idx="63">
                  <c:v>1.05</c:v>
                </c:pt>
                <c:pt idx="64">
                  <c:v>1.05</c:v>
                </c:pt>
                <c:pt idx="65">
                  <c:v>1.05</c:v>
                </c:pt>
                <c:pt idx="66">
                  <c:v>1.05</c:v>
                </c:pt>
                <c:pt idx="67">
                  <c:v>1.05</c:v>
                </c:pt>
                <c:pt idx="68">
                  <c:v>1.05</c:v>
                </c:pt>
                <c:pt idx="69">
                  <c:v>1.05</c:v>
                </c:pt>
                <c:pt idx="70">
                  <c:v>1.05</c:v>
                </c:pt>
                <c:pt idx="71">
                  <c:v>1.05</c:v>
                </c:pt>
                <c:pt idx="72">
                  <c:v>1.05</c:v>
                </c:pt>
                <c:pt idx="73">
                  <c:v>1.05</c:v>
                </c:pt>
                <c:pt idx="74">
                  <c:v>1.05</c:v>
                </c:pt>
                <c:pt idx="75">
                  <c:v>1.05</c:v>
                </c:pt>
                <c:pt idx="76">
                  <c:v>1.05</c:v>
                </c:pt>
                <c:pt idx="77">
                  <c:v>1.05</c:v>
                </c:pt>
                <c:pt idx="78">
                  <c:v>1.05</c:v>
                </c:pt>
                <c:pt idx="79">
                  <c:v>1.05</c:v>
                </c:pt>
                <c:pt idx="80">
                  <c:v>1.05</c:v>
                </c:pt>
                <c:pt idx="81">
                  <c:v>1.05</c:v>
                </c:pt>
                <c:pt idx="82">
                  <c:v>1.05</c:v>
                </c:pt>
                <c:pt idx="83">
                  <c:v>1.05</c:v>
                </c:pt>
                <c:pt idx="84">
                  <c:v>1.05</c:v>
                </c:pt>
                <c:pt idx="85">
                  <c:v>1.05</c:v>
                </c:pt>
                <c:pt idx="86">
                  <c:v>1.05</c:v>
                </c:pt>
                <c:pt idx="87">
                  <c:v>1.05</c:v>
                </c:pt>
                <c:pt idx="88">
                  <c:v>1.05</c:v>
                </c:pt>
                <c:pt idx="89">
                  <c:v>1.05</c:v>
                </c:pt>
                <c:pt idx="90">
                  <c:v>1.05</c:v>
                </c:pt>
                <c:pt idx="91">
                  <c:v>1.05</c:v>
                </c:pt>
                <c:pt idx="92">
                  <c:v>1.05</c:v>
                </c:pt>
                <c:pt idx="93">
                  <c:v>1.05</c:v>
                </c:pt>
                <c:pt idx="94">
                  <c:v>1.05</c:v>
                </c:pt>
                <c:pt idx="95">
                  <c:v>1.05</c:v>
                </c:pt>
                <c:pt idx="96">
                  <c:v>1.05</c:v>
                </c:pt>
                <c:pt idx="97">
                  <c:v>1.05</c:v>
                </c:pt>
                <c:pt idx="98">
                  <c:v>1.05</c:v>
                </c:pt>
                <c:pt idx="99">
                  <c:v>1.05</c:v>
                </c:pt>
                <c:pt idx="100">
                  <c:v>1.05</c:v>
                </c:pt>
                <c:pt idx="101">
                  <c:v>1.05</c:v>
                </c:pt>
                <c:pt idx="102">
                  <c:v>1.05</c:v>
                </c:pt>
                <c:pt idx="103">
                  <c:v>1.05</c:v>
                </c:pt>
                <c:pt idx="104">
                  <c:v>1.05</c:v>
                </c:pt>
                <c:pt idx="105">
                  <c:v>1.05</c:v>
                </c:pt>
                <c:pt idx="106">
                  <c:v>1.05</c:v>
                </c:pt>
                <c:pt idx="107">
                  <c:v>1.05</c:v>
                </c:pt>
                <c:pt idx="108">
                  <c:v>1.05</c:v>
                </c:pt>
                <c:pt idx="109">
                  <c:v>1.05</c:v>
                </c:pt>
                <c:pt idx="110">
                  <c:v>1.05</c:v>
                </c:pt>
                <c:pt idx="111">
                  <c:v>1.05</c:v>
                </c:pt>
                <c:pt idx="112">
                  <c:v>1.05</c:v>
                </c:pt>
                <c:pt idx="113">
                  <c:v>1.05</c:v>
                </c:pt>
                <c:pt idx="114">
                  <c:v>1.05</c:v>
                </c:pt>
                <c:pt idx="115">
                  <c:v>1.05</c:v>
                </c:pt>
                <c:pt idx="116">
                  <c:v>1.05</c:v>
                </c:pt>
                <c:pt idx="117">
                  <c:v>1.05</c:v>
                </c:pt>
                <c:pt idx="118">
                  <c:v>1.05</c:v>
                </c:pt>
                <c:pt idx="119">
                  <c:v>1.05</c:v>
                </c:pt>
                <c:pt idx="120">
                  <c:v>1.05</c:v>
                </c:pt>
                <c:pt idx="121">
                  <c:v>1.05</c:v>
                </c:pt>
                <c:pt idx="122">
                  <c:v>1.05</c:v>
                </c:pt>
                <c:pt idx="123">
                  <c:v>1.05</c:v>
                </c:pt>
                <c:pt idx="124">
                  <c:v>1.05</c:v>
                </c:pt>
                <c:pt idx="125">
                  <c:v>1.05</c:v>
                </c:pt>
                <c:pt idx="126">
                  <c:v>1.05</c:v>
                </c:pt>
                <c:pt idx="127">
                  <c:v>1.05</c:v>
                </c:pt>
                <c:pt idx="128">
                  <c:v>1.05</c:v>
                </c:pt>
                <c:pt idx="129">
                  <c:v>1.05</c:v>
                </c:pt>
                <c:pt idx="130">
                  <c:v>1.05</c:v>
                </c:pt>
                <c:pt idx="131">
                  <c:v>1.05</c:v>
                </c:pt>
                <c:pt idx="132">
                  <c:v>1.05</c:v>
                </c:pt>
                <c:pt idx="133">
                  <c:v>1.05</c:v>
                </c:pt>
                <c:pt idx="134">
                  <c:v>1.05</c:v>
                </c:pt>
                <c:pt idx="135">
                  <c:v>1.05</c:v>
                </c:pt>
                <c:pt idx="136">
                  <c:v>1.05</c:v>
                </c:pt>
                <c:pt idx="137">
                  <c:v>1.05</c:v>
                </c:pt>
                <c:pt idx="138">
                  <c:v>1.05</c:v>
                </c:pt>
                <c:pt idx="139">
                  <c:v>1.05</c:v>
                </c:pt>
                <c:pt idx="140">
                  <c:v>1.05</c:v>
                </c:pt>
                <c:pt idx="141">
                  <c:v>1.05</c:v>
                </c:pt>
                <c:pt idx="142">
                  <c:v>1.05</c:v>
                </c:pt>
                <c:pt idx="143">
                  <c:v>1.05</c:v>
                </c:pt>
                <c:pt idx="144">
                  <c:v>1.05</c:v>
                </c:pt>
                <c:pt idx="145">
                  <c:v>1.05</c:v>
                </c:pt>
                <c:pt idx="146">
                  <c:v>1.05</c:v>
                </c:pt>
                <c:pt idx="147">
                  <c:v>1.05</c:v>
                </c:pt>
                <c:pt idx="148">
                  <c:v>1.05</c:v>
                </c:pt>
                <c:pt idx="149">
                  <c:v>1.05</c:v>
                </c:pt>
                <c:pt idx="150">
                  <c:v>1.05</c:v>
                </c:pt>
                <c:pt idx="151">
                  <c:v>1.05</c:v>
                </c:pt>
                <c:pt idx="152">
                  <c:v>1.05</c:v>
                </c:pt>
                <c:pt idx="153">
                  <c:v>1.05</c:v>
                </c:pt>
                <c:pt idx="154">
                  <c:v>1.05</c:v>
                </c:pt>
                <c:pt idx="155">
                  <c:v>1.05</c:v>
                </c:pt>
                <c:pt idx="156">
                  <c:v>1.05</c:v>
                </c:pt>
                <c:pt idx="157">
                  <c:v>1.05</c:v>
                </c:pt>
                <c:pt idx="158">
                  <c:v>1.05</c:v>
                </c:pt>
                <c:pt idx="159">
                  <c:v>1.05</c:v>
                </c:pt>
                <c:pt idx="160">
                  <c:v>1.05</c:v>
                </c:pt>
                <c:pt idx="161">
                  <c:v>1.05</c:v>
                </c:pt>
                <c:pt idx="162">
                  <c:v>1.05</c:v>
                </c:pt>
                <c:pt idx="163">
                  <c:v>1.05</c:v>
                </c:pt>
                <c:pt idx="164">
                  <c:v>1.05</c:v>
                </c:pt>
                <c:pt idx="165">
                  <c:v>1.05</c:v>
                </c:pt>
                <c:pt idx="166">
                  <c:v>1.05</c:v>
                </c:pt>
                <c:pt idx="167">
                  <c:v>1.05</c:v>
                </c:pt>
                <c:pt idx="168">
                  <c:v>1.05</c:v>
                </c:pt>
                <c:pt idx="169">
                  <c:v>1.05</c:v>
                </c:pt>
                <c:pt idx="170">
                  <c:v>1.05</c:v>
                </c:pt>
                <c:pt idx="171">
                  <c:v>1.05</c:v>
                </c:pt>
                <c:pt idx="172">
                  <c:v>1.05</c:v>
                </c:pt>
                <c:pt idx="173">
                  <c:v>1.05</c:v>
                </c:pt>
                <c:pt idx="174">
                  <c:v>1.05</c:v>
                </c:pt>
                <c:pt idx="175">
                  <c:v>1.05</c:v>
                </c:pt>
                <c:pt idx="176">
                  <c:v>1.05</c:v>
                </c:pt>
                <c:pt idx="177">
                  <c:v>1.05</c:v>
                </c:pt>
                <c:pt idx="178">
                  <c:v>1.05</c:v>
                </c:pt>
                <c:pt idx="179">
                  <c:v>1.05</c:v>
                </c:pt>
                <c:pt idx="180">
                  <c:v>1.05</c:v>
                </c:pt>
                <c:pt idx="181">
                  <c:v>1.05</c:v>
                </c:pt>
                <c:pt idx="182">
                  <c:v>1.05</c:v>
                </c:pt>
                <c:pt idx="183">
                  <c:v>1.05</c:v>
                </c:pt>
                <c:pt idx="184">
                  <c:v>1.05</c:v>
                </c:pt>
                <c:pt idx="185">
                  <c:v>1.05</c:v>
                </c:pt>
                <c:pt idx="186">
                  <c:v>1.05</c:v>
                </c:pt>
                <c:pt idx="187">
                  <c:v>1.05</c:v>
                </c:pt>
                <c:pt idx="188">
                  <c:v>1.05</c:v>
                </c:pt>
                <c:pt idx="189">
                  <c:v>1.05</c:v>
                </c:pt>
                <c:pt idx="190">
                  <c:v>1.05</c:v>
                </c:pt>
                <c:pt idx="191">
                  <c:v>1.05</c:v>
                </c:pt>
                <c:pt idx="192">
                  <c:v>1.05</c:v>
                </c:pt>
                <c:pt idx="193">
                  <c:v>1.05</c:v>
                </c:pt>
                <c:pt idx="194">
                  <c:v>1.05</c:v>
                </c:pt>
                <c:pt idx="195">
                  <c:v>1.05</c:v>
                </c:pt>
                <c:pt idx="196">
                  <c:v>1.05</c:v>
                </c:pt>
                <c:pt idx="197">
                  <c:v>1.05</c:v>
                </c:pt>
                <c:pt idx="198">
                  <c:v>1.05</c:v>
                </c:pt>
                <c:pt idx="199">
                  <c:v>1.05</c:v>
                </c:pt>
              </c:numCache>
            </c:numRef>
          </c:yVal>
          <c:smooth val="0"/>
        </c:ser>
        <c:ser>
          <c:idx val="18"/>
          <c:order val="6"/>
          <c:tx>
            <c:strRef>
              <c:f>协调曲线图!$F$85</c:f>
              <c:strCache>
                <c:ptCount val="1"/>
                <c:pt idx="0">
                  <c:v>--------------------Lco-6kvC1变馈线</c:v>
                </c:pt>
              </c:strCache>
            </c:strRef>
          </c:tx>
          <c:spPr>
            <a:ln w="25400">
              <a:solidFill>
                <a:srgbClr val="0000FF"/>
              </a:solidFill>
              <a:prstDash val="lg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8.7328025296628295E-2"/>
                  <c:y val="-9.1084483014769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曲線Lever計算!$E$9:$E$207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曲線Lever計算!$C$9:$C$207</c:f>
              <c:numCache>
                <c:formatCode>General</c:formatCode>
                <c:ptCount val="199"/>
                <c:pt idx="0">
                  <c:v>1.6883883872132779</c:v>
                </c:pt>
                <c:pt idx="1">
                  <c:v>1.0609311325240072</c:v>
                </c:pt>
                <c:pt idx="2">
                  <c:v>0.83834277906589172</c:v>
                </c:pt>
                <c:pt idx="3">
                  <c:v>0.72049159443524813</c:v>
                </c:pt>
                <c:pt idx="4">
                  <c:v>0.6459919956431831</c:v>
                </c:pt>
                <c:pt idx="5">
                  <c:v>0.5938960321259743</c:v>
                </c:pt>
                <c:pt idx="6">
                  <c:v>0.5550123935657989</c:v>
                </c:pt>
                <c:pt idx="7">
                  <c:v>0.52463804081287146</c:v>
                </c:pt>
                <c:pt idx="8">
                  <c:v>0.50010077848289813</c:v>
                </c:pt>
                <c:pt idx="9">
                  <c:v>0.47976199114821766</c:v>
                </c:pt>
                <c:pt idx="10">
                  <c:v>0.46255673709729694</c:v>
                </c:pt>
                <c:pt idx="11">
                  <c:v>0.44776046779368039</c:v>
                </c:pt>
                <c:pt idx="12">
                  <c:v>0.43486162008147489</c:v>
                </c:pt>
                <c:pt idx="13">
                  <c:v>0.42348778770567669</c:v>
                </c:pt>
                <c:pt idx="14">
                  <c:v>0.41336081241955996</c:v>
                </c:pt>
                <c:pt idx="15">
                  <c:v>0.40426833582364474</c:v>
                </c:pt>
                <c:pt idx="16">
                  <c:v>0.39604514753305758</c:v>
                </c:pt>
                <c:pt idx="17">
                  <c:v>0.38856058911135549</c:v>
                </c:pt>
                <c:pt idx="18">
                  <c:v>0.38170982613586946</c:v>
                </c:pt>
                <c:pt idx="19">
                  <c:v>0.37540766261720548</c:v>
                </c:pt>
                <c:pt idx="20">
                  <c:v>0.36958406891296386</c:v>
                </c:pt>
                <c:pt idx="21">
                  <c:v>0.36418089052129632</c:v>
                </c:pt>
                <c:pt idx="22">
                  <c:v>0.35914938704992261</c:v>
                </c:pt>
                <c:pt idx="23">
                  <c:v>0.35444836533834545</c:v>
                </c:pt>
                <c:pt idx="24">
                  <c:v>0.35004274473779956</c:v>
                </c:pt>
                <c:pt idx="25">
                  <c:v>0.34590244136583898</c:v>
                </c:pt>
                <c:pt idx="26">
                  <c:v>0.34200149096633503</c:v>
                </c:pt>
                <c:pt idx="27">
                  <c:v>0.33831735245591604</c:v>
                </c:pt>
                <c:pt idx="28">
                  <c:v>0.33483034984703719</c:v>
                </c:pt>
                <c:pt idx="29">
                  <c:v>0.3315232212519218</c:v>
                </c:pt>
                <c:pt idx="30">
                  <c:v>0.32838075155013741</c:v>
                </c:pt>
                <c:pt idx="31">
                  <c:v>0.32538947100939619</c:v>
                </c:pt>
                <c:pt idx="32">
                  <c:v>0.32253740633171496</c:v>
                </c:pt>
                <c:pt idx="33">
                  <c:v>0.31981387369580017</c:v>
                </c:pt>
                <c:pt idx="34">
                  <c:v>0.31720930568574274</c:v>
                </c:pt>
                <c:pt idx="35">
                  <c:v>0.31471510574843825</c:v>
                </c:pt>
                <c:pt idx="36">
                  <c:v>0.31232352515787848</c:v>
                </c:pt>
                <c:pt idx="37">
                  <c:v>0.31002755849121899</c:v>
                </c:pt>
                <c:pt idx="38">
                  <c:v>0.30782085441698609</c:v>
                </c:pt>
                <c:pt idx="39">
                  <c:v>0.30569763921654591</c:v>
                </c:pt>
                <c:pt idx="40">
                  <c:v>0.30365265094787663</c:v>
                </c:pt>
                <c:pt idx="41">
                  <c:v>0.30168108254663117</c:v>
                </c:pt>
                <c:pt idx="42">
                  <c:v>0.2997785324667338</c:v>
                </c:pt>
                <c:pt idx="43">
                  <c:v>0.29794096170880485</c:v>
                </c:pt>
                <c:pt idx="44">
                  <c:v>0.29616465628280492</c:v>
                </c:pt>
                <c:pt idx="45">
                  <c:v>0.29444619431172514</c:v>
                </c:pt>
                <c:pt idx="46">
                  <c:v>0.29278241711366182</c:v>
                </c:pt>
                <c:pt idx="47">
                  <c:v>0.29117040370633385</c:v>
                </c:pt>
                <c:pt idx="48">
                  <c:v>0.28960744826579093</c:v>
                </c:pt>
                <c:pt idx="49">
                  <c:v>0.28809104014338682</c:v>
                </c:pt>
                <c:pt idx="50">
                  <c:v>0.28661884610502908</c:v>
                </c:pt>
                <c:pt idx="51">
                  <c:v>0.28518869450660284</c:v>
                </c:pt>
                <c:pt idx="52">
                  <c:v>0.28379856116108432</c:v>
                </c:pt>
                <c:pt idx="53">
                  <c:v>0.28244655668780666</c:v>
                </c:pt>
                <c:pt idx="54">
                  <c:v>0.28113091516368216</c:v>
                </c:pt>
                <c:pt idx="55">
                  <c:v>0.27984998392100169</c:v>
                </c:pt>
                <c:pt idx="56">
                  <c:v>0.27860221435742361</c:v>
                </c:pt>
                <c:pt idx="57">
                  <c:v>0.2773861536416028</c:v>
                </c:pt>
                <c:pt idx="58">
                  <c:v>0.27620043721312521</c:v>
                </c:pt>
                <c:pt idx="59">
                  <c:v>0.27504378198841012</c:v>
                </c:pt>
                <c:pt idx="60">
                  <c:v>0.27391498019537286</c:v>
                </c:pt>
                <c:pt idx="61">
                  <c:v>0.27281289376922896</c:v>
                </c:pt>
                <c:pt idx="62">
                  <c:v>0.27173644925006551</c:v>
                </c:pt>
                <c:pt idx="63">
                  <c:v>0.27068463312993668</c:v>
                </c:pt>
                <c:pt idx="64">
                  <c:v>0.26965648760342303</c:v>
                </c:pt>
                <c:pt idx="65">
                  <c:v>0.26865110668093717</c:v>
                </c:pt>
                <c:pt idx="66">
                  <c:v>0.2676676326287441</c:v>
                </c:pt>
                <c:pt idx="67">
                  <c:v>0.26670525270371792</c:v>
                </c:pt>
                <c:pt idx="68">
                  <c:v>0.26576319615442551</c:v>
                </c:pt>
                <c:pt idx="69">
                  <c:v>0.26484073146322684</c:v>
                </c:pt>
                <c:pt idx="70">
                  <c:v>0.26393716380683058</c:v>
                </c:pt>
                <c:pt idx="71">
                  <c:v>0.26305183271513072</c:v>
                </c:pt>
                <c:pt idx="72">
                  <c:v>0.26218410991029101</c:v>
                </c:pt>
                <c:pt idx="73">
                  <c:v>0.26133339730988286</c:v>
                </c:pt>
                <c:pt idx="74">
                  <c:v>0.26049912517955898</c:v>
                </c:pt>
                <c:pt idx="75">
                  <c:v>0.25968075042220223</c:v>
                </c:pt>
                <c:pt idx="76">
                  <c:v>0.2588777549917835</c:v>
                </c:pt>
                <c:pt idx="77">
                  <c:v>0.25808964442131932</c:v>
                </c:pt>
                <c:pt idx="78">
                  <c:v>0.25731594645535416</c:v>
                </c:pt>
                <c:pt idx="79">
                  <c:v>0.25655620977829713</c:v>
                </c:pt>
                <c:pt idx="80">
                  <c:v>0.25581000283077349</c:v>
                </c:pt>
                <c:pt idx="81">
                  <c:v>0.25507691270686983</c:v>
                </c:pt>
                <c:pt idx="82">
                  <c:v>0.2543565441258217</c:v>
                </c:pt>
                <c:pt idx="83">
                  <c:v>0.25364851847226944</c:v>
                </c:pt>
                <c:pt idx="84">
                  <c:v>0.25295247289974065</c:v>
                </c:pt>
                <c:pt idx="85">
                  <c:v>0.25226805949248787</c:v>
                </c:pt>
                <c:pt idx="86">
                  <c:v>0.25159494448124736</c:v>
                </c:pt>
                <c:pt idx="87">
                  <c:v>0.25093280750885932</c:v>
                </c:pt>
                <c:pt idx="88">
                  <c:v>0.25028134094204191</c:v>
                </c:pt>
                <c:pt idx="89">
                  <c:v>0.24964024922593103</c:v>
                </c:pt>
                <c:pt idx="90">
                  <c:v>0.24900924827827572</c:v>
                </c:pt>
                <c:pt idx="91">
                  <c:v>0.24838806492043319</c:v>
                </c:pt>
                <c:pt idx="92">
                  <c:v>0.2477764363425593</c:v>
                </c:pt>
                <c:pt idx="93">
                  <c:v>0.24717410960058056</c:v>
                </c:pt>
                <c:pt idx="94">
                  <c:v>0.24658084114274118</c:v>
                </c:pt>
                <c:pt idx="95">
                  <c:v>0.24599639636368681</c:v>
                </c:pt>
                <c:pt idx="96">
                  <c:v>0.24542054918421455</c:v>
                </c:pt>
                <c:pt idx="97">
                  <c:v>0.24485308165495609</c:v>
                </c:pt>
                <c:pt idx="98">
                  <c:v>0.24429378358239973</c:v>
                </c:pt>
                <c:pt idx="99">
                  <c:v>0.24374245217577345</c:v>
                </c:pt>
                <c:pt idx="100">
                  <c:v>0.24319889171342876</c:v>
                </c:pt>
                <c:pt idx="101">
                  <c:v>0.24266291322746786</c:v>
                </c:pt>
                <c:pt idx="102">
                  <c:v>0.24213433420543312</c:v>
                </c:pt>
                <c:pt idx="103">
                  <c:v>0.24161297830799039</c:v>
                </c:pt>
                <c:pt idx="104">
                  <c:v>0.24109867510159372</c:v>
                </c:pt>
                <c:pt idx="105">
                  <c:v>0.2405912598052028</c:v>
                </c:pt>
                <c:pt idx="106">
                  <c:v>0.24009057305018294</c:v>
                </c:pt>
                <c:pt idx="107">
                  <c:v>0.23959646065259133</c:v>
                </c:pt>
                <c:pt idx="108">
                  <c:v>0.23910877339709119</c:v>
                </c:pt>
                <c:pt idx="109">
                  <c:v>0.2386273668318048</c:v>
                </c:pt>
                <c:pt idx="110">
                  <c:v>0.23815210107345045</c:v>
                </c:pt>
                <c:pt idx="111">
                  <c:v>0.23768284062216516</c:v>
                </c:pt>
                <c:pt idx="112">
                  <c:v>0.23721945418544074</c:v>
                </c:pt>
                <c:pt idx="113">
                  <c:v>0.23676181451065317</c:v>
                </c:pt>
                <c:pt idx="114">
                  <c:v>0.23630979822569256</c:v>
                </c:pt>
                <c:pt idx="115">
                  <c:v>0.23586328568722814</c:v>
                </c:pt>
                <c:pt idx="116">
                  <c:v>0.23542216083618775</c:v>
                </c:pt>
                <c:pt idx="117">
                  <c:v>0.23498631106004428</c:v>
                </c:pt>
                <c:pt idx="118">
                  <c:v>0.23455562706153044</c:v>
                </c:pt>
                <c:pt idx="119">
                  <c:v>0.23413000273343645</c:v>
                </c:pt>
                <c:pt idx="120">
                  <c:v>0.23370933503915542</c:v>
                </c:pt>
                <c:pt idx="121">
                  <c:v>0.23329352389866451</c:v>
                </c:pt>
                <c:pt idx="122">
                  <c:v>0.23288247207965815</c:v>
                </c:pt>
                <c:pt idx="123">
                  <c:v>0.2324760850935543</c:v>
                </c:pt>
                <c:pt idx="124">
                  <c:v>0.23207427109611758</c:v>
                </c:pt>
                <c:pt idx="125">
                  <c:v>0.2316769407924662</c:v>
                </c:pt>
                <c:pt idx="126">
                  <c:v>0.23128400734622145</c:v>
                </c:pt>
                <c:pt idx="127">
                  <c:v>0.23089538629260475</c:v>
                </c:pt>
                <c:pt idx="128">
                  <c:v>0.23051099545526482</c:v>
                </c:pt>
                <c:pt idx="129">
                  <c:v>0.23013075486665871</c:v>
                </c:pt>
                <c:pt idx="130">
                  <c:v>0.22975458669180085</c:v>
                </c:pt>
                <c:pt idx="131">
                  <c:v>0.22938241515521643</c:v>
                </c:pt>
                <c:pt idx="132">
                  <c:v>0.229014166470941</c:v>
                </c:pt>
                <c:pt idx="133">
                  <c:v>0.22864976877541351</c:v>
                </c:pt>
                <c:pt idx="134">
                  <c:v>0.22828915206312811</c:v>
                </c:pt>
                <c:pt idx="135">
                  <c:v>0.22793224812490362</c:v>
                </c:pt>
                <c:pt idx="136">
                  <c:v>0.22757899048865393</c:v>
                </c:pt>
                <c:pt idx="137">
                  <c:v>0.22722931436253452</c:v>
                </c:pt>
                <c:pt idx="138">
                  <c:v>0.22688315658035299</c:v>
                </c:pt>
                <c:pt idx="139">
                  <c:v>0.22654045554914412</c:v>
                </c:pt>
                <c:pt idx="140">
                  <c:v>0.22620115119879763</c:v>
                </c:pt>
                <c:pt idx="141">
                  <c:v>0.22586518493365493</c:v>
                </c:pt>
                <c:pt idx="142">
                  <c:v>0.22553249958597868</c:v>
                </c:pt>
                <c:pt idx="143">
                  <c:v>0.22520303937120878</c:v>
                </c:pt>
                <c:pt idx="144">
                  <c:v>0.22487674984492986</c:v>
                </c:pt>
                <c:pt idx="145">
                  <c:v>0.22455357786146601</c:v>
                </c:pt>
                <c:pt idx="146">
                  <c:v>0.224233471534038</c:v>
                </c:pt>
                <c:pt idx="147">
                  <c:v>0.22391638019640633</c:v>
                </c:pt>
                <c:pt idx="148">
                  <c:v>0.22360225436593997</c:v>
                </c:pt>
                <c:pt idx="149">
                  <c:v>0.22329104570804764</c:v>
                </c:pt>
                <c:pt idx="150">
                  <c:v>0.22298270700190953</c:v>
                </c:pt>
                <c:pt idx="151">
                  <c:v>0.22267719210745796</c:v>
                </c:pt>
                <c:pt idx="152">
                  <c:v>0.22237445593354946</c:v>
                </c:pt>
                <c:pt idx="153">
                  <c:v>0.22207445440728008</c:v>
                </c:pt>
                <c:pt idx="154">
                  <c:v>0.22177714444439409</c:v>
                </c:pt>
                <c:pt idx="155">
                  <c:v>0.22148248392074416</c:v>
                </c:pt>
                <c:pt idx="156">
                  <c:v>0.22119043164475075</c:v>
                </c:pt>
                <c:pt idx="157">
                  <c:v>0.22090094733082907</c:v>
                </c:pt>
                <c:pt idx="158">
                  <c:v>0.22061399157373726</c:v>
                </c:pt>
                <c:pt idx="159">
                  <c:v>0.22032952582381021</c:v>
                </c:pt>
                <c:pt idx="160">
                  <c:v>0.22004751236304476</c:v>
                </c:pt>
                <c:pt idx="161">
                  <c:v>0.21976791428199777</c:v>
                </c:pt>
                <c:pt idx="162">
                  <c:v>0.2194906954574663</c:v>
                </c:pt>
                <c:pt idx="163">
                  <c:v>0.21921582053092475</c:v>
                </c:pt>
                <c:pt idx="164">
                  <c:v>0.21894325488767452</c:v>
                </c:pt>
                <c:pt idx="165">
                  <c:v>0.21867296463669522</c:v>
                </c:pt>
                <c:pt idx="166">
                  <c:v>0.21840491659115802</c:v>
                </c:pt>
                <c:pt idx="167">
                  <c:v>0.21813907824957726</c:v>
                </c:pt>
                <c:pt idx="168">
                  <c:v>0.21787541777758235</c:v>
                </c:pt>
                <c:pt idx="169">
                  <c:v>0.21761390399027647</c:v>
                </c:pt>
                <c:pt idx="170">
                  <c:v>0.21735450633516837</c:v>
                </c:pt>
                <c:pt idx="171">
                  <c:v>0.21709719487564805</c:v>
                </c:pt>
                <c:pt idx="172">
                  <c:v>0.21684194027499246</c:v>
                </c:pt>
                <c:pt idx="173">
                  <c:v>0.21658871378087455</c:v>
                </c:pt>
                <c:pt idx="174">
                  <c:v>0.21633748721036372</c:v>
                </c:pt>
                <c:pt idx="175">
                  <c:v>0.21608823293539586</c:v>
                </c:pt>
                <c:pt idx="176">
                  <c:v>0.21584092386869191</c:v>
                </c:pt>
                <c:pt idx="177">
                  <c:v>0.21559553345011942</c:v>
                </c:pt>
                <c:pt idx="178">
                  <c:v>0.21535203563346692</c:v>
                </c:pt>
                <c:pt idx="179">
                  <c:v>0.21511040487362787</c:v>
                </c:pt>
                <c:pt idx="180">
                  <c:v>0.21487061611417366</c:v>
                </c:pt>
                <c:pt idx="181">
                  <c:v>0.21463264477530292</c:v>
                </c:pt>
                <c:pt idx="182">
                  <c:v>0.21439646674215102</c:v>
                </c:pt>
                <c:pt idx="183">
                  <c:v>0.21416205835345584</c:v>
                </c:pt>
                <c:pt idx="184">
                  <c:v>0.21392939639055264</c:v>
                </c:pt>
                <c:pt idx="185">
                  <c:v>0.2136984580667029</c:v>
                </c:pt>
                <c:pt idx="186">
                  <c:v>0.21346922101673166</c:v>
                </c:pt>
                <c:pt idx="187">
                  <c:v>0.2132416632869715</c:v>
                </c:pt>
                <c:pt idx="188">
                  <c:v>0.21301576332549757</c:v>
                </c:pt>
                <c:pt idx="189">
                  <c:v>0.21279149997264776</c:v>
                </c:pt>
                <c:pt idx="190">
                  <c:v>0.21256885245181292</c:v>
                </c:pt>
                <c:pt idx="191">
                  <c:v>0.21234780036049578</c:v>
                </c:pt>
                <c:pt idx="192">
                  <c:v>0.21212832366161882</c:v>
                </c:pt>
                <c:pt idx="193">
                  <c:v>0.21191040267508479</c:v>
                </c:pt>
                <c:pt idx="194">
                  <c:v>0.21169401806957142</c:v>
                </c:pt>
                <c:pt idx="195">
                  <c:v>0.2114791508545571</c:v>
                </c:pt>
                <c:pt idx="196">
                  <c:v>0.2112657823725706</c:v>
                </c:pt>
                <c:pt idx="197">
                  <c:v>0.21105389429165555</c:v>
                </c:pt>
                <c:pt idx="198">
                  <c:v>0.21084346859804268</c:v>
                </c:pt>
              </c:numCache>
            </c:numRef>
          </c:yVal>
          <c:smooth val="0"/>
        </c:ser>
        <c:ser>
          <c:idx val="19"/>
          <c:order val="7"/>
          <c:tx>
            <c:strRef>
              <c:f>协调曲线图!$F$86</c:f>
              <c:strCache>
                <c:ptCount val="1"/>
                <c:pt idx="0">
                  <c:v>--------------------Lco-6kvC1变母联</c:v>
                </c:pt>
              </c:strCache>
            </c:strRef>
          </c:tx>
          <c:spPr>
            <a:ln w="25400">
              <a:solidFill>
                <a:srgbClr val="FF00FF"/>
              </a:solidFill>
              <a:prstDash val="lgDash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2.0590743767092003E-2"/>
                  <c:y val="2.3858045720862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00FF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曲線Lever計算!$J$9:$J$207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曲線Lever計算!$H$9:$H$207</c:f>
              <c:numCache>
                <c:formatCode>General</c:formatCode>
                <c:ptCount val="199"/>
                <c:pt idx="0">
                  <c:v>2.3637437420985892</c:v>
                </c:pt>
                <c:pt idx="1">
                  <c:v>1.4853035855336101</c:v>
                </c:pt>
                <c:pt idx="2">
                  <c:v>1.1736798906922483</c:v>
                </c:pt>
                <c:pt idx="3">
                  <c:v>1.0086882322093473</c:v>
                </c:pt>
                <c:pt idx="4">
                  <c:v>0.90438879390045634</c:v>
                </c:pt>
                <c:pt idx="5">
                  <c:v>0.831454444976364</c:v>
                </c:pt>
                <c:pt idx="6">
                  <c:v>0.77701735099211844</c:v>
                </c:pt>
                <c:pt idx="7">
                  <c:v>0.73449325713802005</c:v>
                </c:pt>
                <c:pt idx="8">
                  <c:v>0.7001410898760575</c:v>
                </c:pt>
                <c:pt idx="9">
                  <c:v>0.67166678760750476</c:v>
                </c:pt>
                <c:pt idx="10">
                  <c:v>0.64757943193621581</c:v>
                </c:pt>
                <c:pt idx="11">
                  <c:v>0.62686465491115262</c:v>
                </c:pt>
                <c:pt idx="12">
                  <c:v>0.6088062681140648</c:v>
                </c:pt>
                <c:pt idx="13">
                  <c:v>0.59288290278794742</c:v>
                </c:pt>
                <c:pt idx="14">
                  <c:v>0.57870513738738394</c:v>
                </c:pt>
                <c:pt idx="15">
                  <c:v>0.56597567015310268</c:v>
                </c:pt>
                <c:pt idx="16">
                  <c:v>0.55446320654628056</c:v>
                </c:pt>
                <c:pt idx="17">
                  <c:v>0.54398482475589771</c:v>
                </c:pt>
                <c:pt idx="18">
                  <c:v>0.53439375659021726</c:v>
                </c:pt>
                <c:pt idx="19">
                  <c:v>0.52557072766408774</c:v>
                </c:pt>
                <c:pt idx="20">
                  <c:v>0.51741769647814939</c:v>
                </c:pt>
                <c:pt idx="21">
                  <c:v>0.5098532467298148</c:v>
                </c:pt>
                <c:pt idx="22">
                  <c:v>0.50280914186989167</c:v>
                </c:pt>
                <c:pt idx="23">
                  <c:v>0.49622771147368366</c:v>
                </c:pt>
                <c:pt idx="24">
                  <c:v>0.49005984263291941</c:v>
                </c:pt>
                <c:pt idx="25">
                  <c:v>0.48426341791217459</c:v>
                </c:pt>
                <c:pt idx="26">
                  <c:v>0.47880208735286905</c:v>
                </c:pt>
                <c:pt idx="27">
                  <c:v>0.47364429343828246</c:v>
                </c:pt>
                <c:pt idx="28">
                  <c:v>0.46876248978585205</c:v>
                </c:pt>
                <c:pt idx="29">
                  <c:v>0.46413250975269055</c:v>
                </c:pt>
                <c:pt idx="30">
                  <c:v>0.45973305217019239</c:v>
                </c:pt>
                <c:pt idx="31">
                  <c:v>0.45554525941315466</c:v>
                </c:pt>
                <c:pt idx="32">
                  <c:v>0.45155236886440098</c:v>
                </c:pt>
                <c:pt idx="33">
                  <c:v>0.44773942317412019</c:v>
                </c:pt>
                <c:pt idx="34">
                  <c:v>0.44409302796003985</c:v>
                </c:pt>
                <c:pt idx="35">
                  <c:v>0.44060114804781353</c:v>
                </c:pt>
                <c:pt idx="36">
                  <c:v>0.43725293522102987</c:v>
                </c:pt>
                <c:pt idx="37">
                  <c:v>0.43403858188770661</c:v>
                </c:pt>
                <c:pt idx="38">
                  <c:v>0.43094919618378053</c:v>
                </c:pt>
                <c:pt idx="39">
                  <c:v>0.42797669490316426</c:v>
                </c:pt>
                <c:pt idx="40">
                  <c:v>0.42511371132702724</c:v>
                </c:pt>
                <c:pt idx="41">
                  <c:v>0.42235351556528367</c:v>
                </c:pt>
                <c:pt idx="42">
                  <c:v>0.41968994545342736</c:v>
                </c:pt>
                <c:pt idx="43">
                  <c:v>0.41711734639232678</c:v>
                </c:pt>
                <c:pt idx="44">
                  <c:v>0.41463051879592688</c:v>
                </c:pt>
                <c:pt idx="45">
                  <c:v>0.41222467203641522</c:v>
                </c:pt>
                <c:pt idx="46">
                  <c:v>0.40989538395912656</c:v>
                </c:pt>
                <c:pt idx="47">
                  <c:v>0.40763856518886737</c:v>
                </c:pt>
                <c:pt idx="48">
                  <c:v>0.40545042757210731</c:v>
                </c:pt>
                <c:pt idx="49">
                  <c:v>0.40332745620074156</c:v>
                </c:pt>
                <c:pt idx="50">
                  <c:v>0.40126638454704067</c:v>
                </c:pt>
                <c:pt idx="51">
                  <c:v>0.39926417230924399</c:v>
                </c:pt>
                <c:pt idx="52">
                  <c:v>0.39731798562551807</c:v>
                </c:pt>
                <c:pt idx="53">
                  <c:v>0.39542517936292931</c:v>
                </c:pt>
                <c:pt idx="54">
                  <c:v>0.39358328122915498</c:v>
                </c:pt>
                <c:pt idx="55">
                  <c:v>0.39178997748940236</c:v>
                </c:pt>
                <c:pt idx="56">
                  <c:v>0.39004310010039306</c:v>
                </c:pt>
                <c:pt idx="57">
                  <c:v>0.38834061509824397</c:v>
                </c:pt>
                <c:pt idx="58">
                  <c:v>0.38668061209837529</c:v>
                </c:pt>
                <c:pt idx="59">
                  <c:v>0.38506129478377421</c:v>
                </c:pt>
                <c:pt idx="60">
                  <c:v>0.38348097227352201</c:v>
                </c:pt>
                <c:pt idx="61">
                  <c:v>0.38193805127692054</c:v>
                </c:pt>
                <c:pt idx="62">
                  <c:v>0.38043102895009173</c:v>
                </c:pt>
                <c:pt idx="63">
                  <c:v>0.37895848638191137</c:v>
                </c:pt>
                <c:pt idx="64">
                  <c:v>0.37751908264479228</c:v>
                </c:pt>
                <c:pt idx="65">
                  <c:v>0.37611154935331204</c:v>
                </c:pt>
                <c:pt idx="66">
                  <c:v>0.37473468568024176</c:v>
                </c:pt>
                <c:pt idx="67">
                  <c:v>0.37338735378520505</c:v>
                </c:pt>
                <c:pt idx="68">
                  <c:v>0.37206847461619574</c:v>
                </c:pt>
                <c:pt idx="69">
                  <c:v>0.37077702404851753</c:v>
                </c:pt>
                <c:pt idx="70">
                  <c:v>0.36951202932956279</c:v>
                </c:pt>
                <c:pt idx="71">
                  <c:v>0.368272565801183</c:v>
                </c:pt>
                <c:pt idx="72">
                  <c:v>0.36705775387440742</c:v>
                </c:pt>
                <c:pt idx="73">
                  <c:v>0.36586675623383602</c:v>
                </c:pt>
                <c:pt idx="74">
                  <c:v>0.36469877525138256</c:v>
                </c:pt>
                <c:pt idx="75">
                  <c:v>0.36355305059108312</c:v>
                </c:pt>
                <c:pt idx="76">
                  <c:v>0.36242885698849692</c:v>
                </c:pt>
                <c:pt idx="77">
                  <c:v>0.3613255021898471</c:v>
                </c:pt>
                <c:pt idx="78">
                  <c:v>0.36024232503749581</c:v>
                </c:pt>
                <c:pt idx="79">
                  <c:v>0.35917869368961602</c:v>
                </c:pt>
                <c:pt idx="80">
                  <c:v>0.35813400396308287</c:v>
                </c:pt>
                <c:pt idx="81">
                  <c:v>0.35710767778961777</c:v>
                </c:pt>
                <c:pt idx="82">
                  <c:v>0.35609916177615042</c:v>
                </c:pt>
                <c:pt idx="83">
                  <c:v>0.35510792586117723</c:v>
                </c:pt>
                <c:pt idx="84">
                  <c:v>0.35413346205963692</c:v>
                </c:pt>
                <c:pt idx="85">
                  <c:v>0.35317528328948306</c:v>
                </c:pt>
                <c:pt idx="86">
                  <c:v>0.35223292227374636</c:v>
                </c:pt>
                <c:pt idx="87">
                  <c:v>0.35130593051240305</c:v>
                </c:pt>
                <c:pt idx="88">
                  <c:v>0.35039387731885863</c:v>
                </c:pt>
                <c:pt idx="89">
                  <c:v>0.34949634891630343</c:v>
                </c:pt>
                <c:pt idx="90">
                  <c:v>0.34861294758958605</c:v>
                </c:pt>
                <c:pt idx="91">
                  <c:v>0.34774329088860645</c:v>
                </c:pt>
                <c:pt idx="92">
                  <c:v>0.34688701087958301</c:v>
                </c:pt>
                <c:pt idx="93">
                  <c:v>0.34604375344081278</c:v>
                </c:pt>
                <c:pt idx="94">
                  <c:v>0.34521317759983766</c:v>
                </c:pt>
                <c:pt idx="95">
                  <c:v>0.34439495490916155</c:v>
                </c:pt>
                <c:pt idx="96">
                  <c:v>0.34358876885790041</c:v>
                </c:pt>
                <c:pt idx="97">
                  <c:v>0.34279431431693852</c:v>
                </c:pt>
                <c:pt idx="98">
                  <c:v>0.34201129701535959</c:v>
                </c:pt>
                <c:pt idx="99">
                  <c:v>0.34123943304608284</c:v>
                </c:pt>
                <c:pt idx="100">
                  <c:v>0.34047844839880026</c:v>
                </c:pt>
                <c:pt idx="101">
                  <c:v>0.33972807851845499</c:v>
                </c:pt>
                <c:pt idx="102">
                  <c:v>0.33898806788760638</c:v>
                </c:pt>
                <c:pt idx="103">
                  <c:v>0.33825816963118654</c:v>
                </c:pt>
                <c:pt idx="104">
                  <c:v>0.33753814514223124</c:v>
                </c:pt>
                <c:pt idx="105">
                  <c:v>0.3368277637272839</c:v>
                </c:pt>
                <c:pt idx="106">
                  <c:v>0.33612680227025615</c:v>
                </c:pt>
                <c:pt idx="107">
                  <c:v>0.33543504491362786</c:v>
                </c:pt>
                <c:pt idx="108">
                  <c:v>0.33475228275592767</c:v>
                </c:pt>
                <c:pt idx="109">
                  <c:v>0.33407831356452672</c:v>
                </c:pt>
                <c:pt idx="110">
                  <c:v>0.33341294150283063</c:v>
                </c:pt>
                <c:pt idx="111">
                  <c:v>0.33275597687103126</c:v>
                </c:pt>
                <c:pt idx="112">
                  <c:v>0.33210723585961704</c:v>
                </c:pt>
                <c:pt idx="113">
                  <c:v>0.33146654031491446</c:v>
                </c:pt>
                <c:pt idx="114">
                  <c:v>0.33083371751596963</c:v>
                </c:pt>
                <c:pt idx="115">
                  <c:v>0.33020859996211943</c:v>
                </c:pt>
                <c:pt idx="116">
                  <c:v>0.32959102517066285</c:v>
                </c:pt>
                <c:pt idx="117">
                  <c:v>0.32898083548406198</c:v>
                </c:pt>
                <c:pt idx="118">
                  <c:v>0.32837787788614264</c:v>
                </c:pt>
                <c:pt idx="119">
                  <c:v>0.32778200382681105</c:v>
                </c:pt>
                <c:pt idx="120">
                  <c:v>0.3271930690548176</c:v>
                </c:pt>
                <c:pt idx="121">
                  <c:v>0.3266109334581303</c:v>
                </c:pt>
                <c:pt idx="122">
                  <c:v>0.32603546091152141</c:v>
                </c:pt>
                <c:pt idx="123">
                  <c:v>0.32546651913097602</c:v>
                </c:pt>
                <c:pt idx="124">
                  <c:v>0.32490397953456462</c:v>
                </c:pt>
                <c:pt idx="125">
                  <c:v>0.3243477171094527</c:v>
                </c:pt>
                <c:pt idx="126">
                  <c:v>0.32379761028471005</c:v>
                </c:pt>
                <c:pt idx="127">
                  <c:v>0.32325354080964663</c:v>
                </c:pt>
                <c:pt idx="128">
                  <c:v>0.32271539363737073</c:v>
                </c:pt>
                <c:pt idx="129">
                  <c:v>0.32218305681332221</c:v>
                </c:pt>
                <c:pt idx="130">
                  <c:v>0.32165642136852118</c:v>
                </c:pt>
                <c:pt idx="131">
                  <c:v>0.32113538121730301</c:v>
                </c:pt>
                <c:pt idx="132">
                  <c:v>0.32061983305931741</c:v>
                </c:pt>
                <c:pt idx="133">
                  <c:v>0.32010967628557896</c:v>
                </c:pt>
                <c:pt idx="134">
                  <c:v>0.31960481288837933</c:v>
                </c:pt>
                <c:pt idx="135">
                  <c:v>0.31910514737486506</c:v>
                </c:pt>
                <c:pt idx="136">
                  <c:v>0.31861058668411552</c:v>
                </c:pt>
                <c:pt idx="137">
                  <c:v>0.31812104010754833</c:v>
                </c:pt>
                <c:pt idx="138">
                  <c:v>0.31763641921249419</c:v>
                </c:pt>
                <c:pt idx="139">
                  <c:v>0.31715663776880176</c:v>
                </c:pt>
                <c:pt idx="140">
                  <c:v>0.31668161167831671</c:v>
                </c:pt>
                <c:pt idx="141">
                  <c:v>0.31621125890711693</c:v>
                </c:pt>
                <c:pt idx="142">
                  <c:v>0.31574549942037017</c:v>
                </c:pt>
                <c:pt idx="143">
                  <c:v>0.31528425511969232</c:v>
                </c:pt>
                <c:pt idx="144">
                  <c:v>0.31482744978290184</c:v>
                </c:pt>
                <c:pt idx="145">
                  <c:v>0.31437500900605242</c:v>
                </c:pt>
                <c:pt idx="146">
                  <c:v>0.3139268601476532</c:v>
                </c:pt>
                <c:pt idx="147">
                  <c:v>0.31348293227496887</c:v>
                </c:pt>
                <c:pt idx="148">
                  <c:v>0.31304315611231598</c:v>
                </c:pt>
                <c:pt idx="149">
                  <c:v>0.31260746399126671</c:v>
                </c:pt>
                <c:pt idx="150">
                  <c:v>0.31217578980267335</c:v>
                </c:pt>
                <c:pt idx="151">
                  <c:v>0.31174806895044116</c:v>
                </c:pt>
                <c:pt idx="152">
                  <c:v>0.31132423830696926</c:v>
                </c:pt>
                <c:pt idx="153">
                  <c:v>0.31090423617019208</c:v>
                </c:pt>
                <c:pt idx="154">
                  <c:v>0.31048800222215173</c:v>
                </c:pt>
                <c:pt idx="155">
                  <c:v>0.31007547748904185</c:v>
                </c:pt>
                <c:pt idx="156">
                  <c:v>0.30966660430265103</c:v>
                </c:pt>
                <c:pt idx="157">
                  <c:v>0.30926132626316072</c:v>
                </c:pt>
                <c:pt idx="158">
                  <c:v>0.30885958820323217</c:v>
                </c:pt>
                <c:pt idx="159">
                  <c:v>0.30846133615333426</c:v>
                </c:pt>
                <c:pt idx="160">
                  <c:v>0.30806651730826268</c:v>
                </c:pt>
                <c:pt idx="161">
                  <c:v>0.30767507999479687</c:v>
                </c:pt>
                <c:pt idx="162">
                  <c:v>0.30728697364045282</c:v>
                </c:pt>
                <c:pt idx="163">
                  <c:v>0.30690214874329469</c:v>
                </c:pt>
                <c:pt idx="164">
                  <c:v>0.30652055684274437</c:v>
                </c:pt>
                <c:pt idx="165">
                  <c:v>0.30614215049137333</c:v>
                </c:pt>
                <c:pt idx="166">
                  <c:v>0.30576688322762124</c:v>
                </c:pt>
                <c:pt idx="167">
                  <c:v>0.30539470954940817</c:v>
                </c:pt>
                <c:pt idx="168">
                  <c:v>0.30502558488861531</c:v>
                </c:pt>
                <c:pt idx="169">
                  <c:v>0.30465946558638707</c:v>
                </c:pt>
                <c:pt idx="170">
                  <c:v>0.3042963088692357</c:v>
                </c:pt>
                <c:pt idx="171">
                  <c:v>0.30393607282590729</c:v>
                </c:pt>
                <c:pt idx="172">
                  <c:v>0.30357871638498946</c:v>
                </c:pt>
                <c:pt idx="173">
                  <c:v>0.30322419929322436</c:v>
                </c:pt>
                <c:pt idx="174">
                  <c:v>0.30287248209450923</c:v>
                </c:pt>
                <c:pt idx="175">
                  <c:v>0.30252352610955419</c:v>
                </c:pt>
                <c:pt idx="176">
                  <c:v>0.30217729341616867</c:v>
                </c:pt>
                <c:pt idx="177">
                  <c:v>0.30183374683016717</c:v>
                </c:pt>
                <c:pt idx="178">
                  <c:v>0.30149284988685365</c:v>
                </c:pt>
                <c:pt idx="179">
                  <c:v>0.30115456682307901</c:v>
                </c:pt>
                <c:pt idx="180">
                  <c:v>0.30081886255984314</c:v>
                </c:pt>
                <c:pt idx="181">
                  <c:v>0.30048570268542407</c:v>
                </c:pt>
                <c:pt idx="182">
                  <c:v>0.30015505343901144</c:v>
                </c:pt>
                <c:pt idx="183">
                  <c:v>0.29982688169483818</c:v>
                </c:pt>
                <c:pt idx="184">
                  <c:v>0.29950115494677371</c:v>
                </c:pt>
                <c:pt idx="185">
                  <c:v>0.29917784129338409</c:v>
                </c:pt>
                <c:pt idx="186">
                  <c:v>0.29885690942342436</c:v>
                </c:pt>
                <c:pt idx="187">
                  <c:v>0.29853832860176011</c:v>
                </c:pt>
                <c:pt idx="188">
                  <c:v>0.29822206865569661</c:v>
                </c:pt>
                <c:pt idx="189">
                  <c:v>0.29790809996170686</c:v>
                </c:pt>
                <c:pt idx="190">
                  <c:v>0.29759639343253813</c:v>
                </c:pt>
                <c:pt idx="191">
                  <c:v>0.29728692050469413</c:v>
                </c:pt>
                <c:pt idx="192">
                  <c:v>0.29697965312626634</c:v>
                </c:pt>
                <c:pt idx="193">
                  <c:v>0.29667456374511875</c:v>
                </c:pt>
                <c:pt idx="194">
                  <c:v>0.29637162529740002</c:v>
                </c:pt>
                <c:pt idx="195">
                  <c:v>0.2960708111963799</c:v>
                </c:pt>
                <c:pt idx="196">
                  <c:v>0.29577209532159882</c:v>
                </c:pt>
                <c:pt idx="197">
                  <c:v>0.29547545200831776</c:v>
                </c:pt>
                <c:pt idx="198">
                  <c:v>0.29518085603725974</c:v>
                </c:pt>
              </c:numCache>
            </c:numRef>
          </c:yVal>
          <c:smooth val="0"/>
        </c:ser>
        <c:ser>
          <c:idx val="20"/>
          <c:order val="8"/>
          <c:tx>
            <c:strRef>
              <c:f>协调曲线图!$F$87</c:f>
              <c:strCache>
                <c:ptCount val="1"/>
                <c:pt idx="0">
                  <c:v>--------------------Lco-6kvC1变进线</c:v>
                </c:pt>
              </c:strCache>
            </c:strRef>
          </c:tx>
          <c:spPr>
            <a:ln w="25400">
              <a:solidFill>
                <a:srgbClr val="FF66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4.1963661774982515E-2"/>
                  <c:y val="3.47016805072430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66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曲線Lever計算!$O$9:$O$207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曲線Lever計算!$M$9:$M$207</c:f>
              <c:numCache>
                <c:formatCode>General</c:formatCode>
                <c:ptCount val="199"/>
                <c:pt idx="0">
                  <c:v>3.0390990969839007</c:v>
                </c:pt>
                <c:pt idx="1">
                  <c:v>1.9096760385432132</c:v>
                </c:pt>
                <c:pt idx="2">
                  <c:v>1.5090170023186054</c:v>
                </c:pt>
                <c:pt idx="3">
                  <c:v>1.2968848699834468</c:v>
                </c:pt>
                <c:pt idx="4">
                  <c:v>1.1627855921577297</c:v>
                </c:pt>
                <c:pt idx="5">
                  <c:v>1.0690128578267539</c:v>
                </c:pt>
                <c:pt idx="6">
                  <c:v>0.99902230841843809</c:v>
                </c:pt>
                <c:pt idx="7">
                  <c:v>0.94434847346316864</c:v>
                </c:pt>
                <c:pt idx="8">
                  <c:v>0.90018140126921686</c:v>
                </c:pt>
                <c:pt idx="9">
                  <c:v>0.86357158406679191</c:v>
                </c:pt>
                <c:pt idx="10">
                  <c:v>0.83260212677513468</c:v>
                </c:pt>
                <c:pt idx="11">
                  <c:v>0.80596884202862484</c:v>
                </c:pt>
                <c:pt idx="12">
                  <c:v>0.78275091614665482</c:v>
                </c:pt>
                <c:pt idx="13">
                  <c:v>0.76227801787021809</c:v>
                </c:pt>
                <c:pt idx="14">
                  <c:v>0.74404946235520808</c:v>
                </c:pt>
                <c:pt idx="15">
                  <c:v>0.72768300448256062</c:v>
                </c:pt>
                <c:pt idx="16">
                  <c:v>0.71288126555950371</c:v>
                </c:pt>
                <c:pt idx="17">
                  <c:v>0.69940906040044004</c:v>
                </c:pt>
                <c:pt idx="18">
                  <c:v>0.68707768704456507</c:v>
                </c:pt>
                <c:pt idx="19">
                  <c:v>0.67573379271097</c:v>
                </c:pt>
                <c:pt idx="20">
                  <c:v>0.66525132404333509</c:v>
                </c:pt>
                <c:pt idx="21">
                  <c:v>0.65552560293833351</c:v>
                </c:pt>
                <c:pt idx="22">
                  <c:v>0.64646889668986085</c:v>
                </c:pt>
                <c:pt idx="23">
                  <c:v>0.63800705760902188</c:v>
                </c:pt>
                <c:pt idx="24">
                  <c:v>0.63007694052803931</c:v>
                </c:pt>
                <c:pt idx="25">
                  <c:v>0.62262439445851026</c:v>
                </c:pt>
                <c:pt idx="26">
                  <c:v>0.61560268373940319</c:v>
                </c:pt>
                <c:pt idx="27">
                  <c:v>0.60897123442064893</c:v>
                </c:pt>
                <c:pt idx="28">
                  <c:v>0.60269462972466703</c:v>
                </c:pt>
                <c:pt idx="29">
                  <c:v>0.5967417982534593</c:v>
                </c:pt>
                <c:pt idx="30">
                  <c:v>0.59108535279024743</c:v>
                </c:pt>
                <c:pt idx="31">
                  <c:v>0.58570104781691323</c:v>
                </c:pt>
                <c:pt idx="32">
                  <c:v>0.58056733139708705</c:v>
                </c:pt>
                <c:pt idx="33">
                  <c:v>0.57566497265244032</c:v>
                </c:pt>
                <c:pt idx="34">
                  <c:v>0.57097675023433703</c:v>
                </c:pt>
                <c:pt idx="35">
                  <c:v>0.56648719034718886</c:v>
                </c:pt>
                <c:pt idx="36">
                  <c:v>0.56218234528418132</c:v>
                </c:pt>
                <c:pt idx="37">
                  <c:v>0.55804960528419434</c:v>
                </c:pt>
                <c:pt idx="38">
                  <c:v>0.55407753795057502</c:v>
                </c:pt>
                <c:pt idx="39">
                  <c:v>0.55025575058978271</c:v>
                </c:pt>
                <c:pt idx="40">
                  <c:v>0.54657477170617796</c:v>
                </c:pt>
                <c:pt idx="41">
                  <c:v>0.54302594858393616</c:v>
                </c:pt>
                <c:pt idx="42">
                  <c:v>0.53960135844012092</c:v>
                </c:pt>
                <c:pt idx="43">
                  <c:v>0.53629373107584877</c:v>
                </c:pt>
                <c:pt idx="44">
                  <c:v>0.53309638130904891</c:v>
                </c:pt>
                <c:pt idx="45">
                  <c:v>0.5300031497611053</c:v>
                </c:pt>
                <c:pt idx="46">
                  <c:v>0.52700835080459141</c:v>
                </c:pt>
                <c:pt idx="47">
                  <c:v>0.52410672667140101</c:v>
                </c:pt>
                <c:pt idx="48">
                  <c:v>0.52129340687842374</c:v>
                </c:pt>
                <c:pt idx="49">
                  <c:v>0.51856387225809641</c:v>
                </c:pt>
                <c:pt idx="50">
                  <c:v>0.51591392298905236</c:v>
                </c:pt>
                <c:pt idx="51">
                  <c:v>0.5133396501118852</c:v>
                </c:pt>
                <c:pt idx="52">
                  <c:v>0.51083741008995187</c:v>
                </c:pt>
                <c:pt idx="53">
                  <c:v>0.50840380203805202</c:v>
                </c:pt>
                <c:pt idx="54">
                  <c:v>0.50603564729462791</c:v>
                </c:pt>
                <c:pt idx="55">
                  <c:v>0.50372997105780315</c:v>
                </c:pt>
                <c:pt idx="56">
                  <c:v>0.50148398584336262</c:v>
                </c:pt>
                <c:pt idx="57">
                  <c:v>0.49929507655488514</c:v>
                </c:pt>
                <c:pt idx="58">
                  <c:v>0.49716078698362542</c:v>
                </c:pt>
                <c:pt idx="59">
                  <c:v>0.4950788075791383</c:v>
                </c:pt>
                <c:pt idx="60">
                  <c:v>0.49304696435167122</c:v>
                </c:pt>
                <c:pt idx="61">
                  <c:v>0.49106320878461218</c:v>
                </c:pt>
                <c:pt idx="62">
                  <c:v>0.489125608650118</c:v>
                </c:pt>
                <c:pt idx="63">
                  <c:v>0.48723233963388607</c:v>
                </c:pt>
                <c:pt idx="64">
                  <c:v>0.48538167768616158</c:v>
                </c:pt>
                <c:pt idx="65">
                  <c:v>0.48357199202568696</c:v>
                </c:pt>
                <c:pt idx="66">
                  <c:v>0.48180173873173943</c:v>
                </c:pt>
                <c:pt idx="67">
                  <c:v>0.48006945486669228</c:v>
                </c:pt>
                <c:pt idx="68">
                  <c:v>0.47837375307796604</c:v>
                </c:pt>
                <c:pt idx="69">
                  <c:v>0.47671331663380834</c:v>
                </c:pt>
                <c:pt idx="70">
                  <c:v>0.47508689485229511</c:v>
                </c:pt>
                <c:pt idx="71">
                  <c:v>0.47349329888723535</c:v>
                </c:pt>
                <c:pt idx="72">
                  <c:v>0.47193139783852389</c:v>
                </c:pt>
                <c:pt idx="73">
                  <c:v>0.47040011515778923</c:v>
                </c:pt>
                <c:pt idx="74">
                  <c:v>0.46889842532320619</c:v>
                </c:pt>
                <c:pt idx="75">
                  <c:v>0.46742535075996411</c:v>
                </c:pt>
                <c:pt idx="76">
                  <c:v>0.46597995898521039</c:v>
                </c:pt>
                <c:pt idx="77">
                  <c:v>0.46456135995837489</c:v>
                </c:pt>
                <c:pt idx="78">
                  <c:v>0.46316870361963752</c:v>
                </c:pt>
                <c:pt idx="79">
                  <c:v>0.46180117760093492</c:v>
                </c:pt>
                <c:pt idx="80">
                  <c:v>0.46045800509539231</c:v>
                </c:pt>
                <c:pt idx="81">
                  <c:v>0.45913844287236572</c:v>
                </c:pt>
                <c:pt idx="82">
                  <c:v>0.45784177942647919</c:v>
                </c:pt>
                <c:pt idx="83">
                  <c:v>0.45656733325008503</c:v>
                </c:pt>
                <c:pt idx="84">
                  <c:v>0.45531445121953318</c:v>
                </c:pt>
                <c:pt idx="85">
                  <c:v>0.45408250708647824</c:v>
                </c:pt>
                <c:pt idx="86">
                  <c:v>0.45287090006624536</c:v>
                </c:pt>
                <c:pt idx="87">
                  <c:v>0.45167905351594684</c:v>
                </c:pt>
                <c:pt idx="88">
                  <c:v>0.45050641369567546</c:v>
                </c:pt>
                <c:pt idx="89">
                  <c:v>0.44935244860667589</c:v>
                </c:pt>
                <c:pt idx="90">
                  <c:v>0.44821664690089635</c:v>
                </c:pt>
                <c:pt idx="91">
                  <c:v>0.44709851685677982</c:v>
                </c:pt>
                <c:pt idx="92">
                  <c:v>0.44599758541660678</c:v>
                </c:pt>
                <c:pt idx="93">
                  <c:v>0.44491339728104506</c:v>
                </c:pt>
                <c:pt idx="94">
                  <c:v>0.44384551405693418</c:v>
                </c:pt>
                <c:pt idx="95">
                  <c:v>0.4427935134546363</c:v>
                </c:pt>
                <c:pt idx="96">
                  <c:v>0.44175698853158624</c:v>
                </c:pt>
                <c:pt idx="97">
                  <c:v>0.44073554697892098</c:v>
                </c:pt>
                <c:pt idx="98">
                  <c:v>0.43972881044831957</c:v>
                </c:pt>
                <c:pt idx="99">
                  <c:v>0.43873641391639223</c:v>
                </c:pt>
                <c:pt idx="100">
                  <c:v>0.43775800508417184</c:v>
                </c:pt>
                <c:pt idx="101">
                  <c:v>0.43679324380944218</c:v>
                </c:pt>
                <c:pt idx="102">
                  <c:v>0.4358418015697797</c:v>
                </c:pt>
                <c:pt idx="103">
                  <c:v>0.43490336095438276</c:v>
                </c:pt>
                <c:pt idx="104">
                  <c:v>0.43397761518286876</c:v>
                </c:pt>
                <c:pt idx="105">
                  <c:v>0.43306426764936506</c:v>
                </c:pt>
                <c:pt idx="106">
                  <c:v>0.43216303149032936</c:v>
                </c:pt>
                <c:pt idx="107">
                  <c:v>0.43127362917466444</c:v>
                </c:pt>
                <c:pt idx="108">
                  <c:v>0.4303957921147642</c:v>
                </c:pt>
                <c:pt idx="109">
                  <c:v>0.42952926029724869</c:v>
                </c:pt>
                <c:pt idx="110">
                  <c:v>0.42867378193221084</c:v>
                </c:pt>
                <c:pt idx="111">
                  <c:v>0.42782911311989735</c:v>
                </c:pt>
                <c:pt idx="112">
                  <c:v>0.42699501753379338</c:v>
                </c:pt>
                <c:pt idx="113">
                  <c:v>0.42617126611917577</c:v>
                </c:pt>
                <c:pt idx="114">
                  <c:v>0.42535763680624666</c:v>
                </c:pt>
                <c:pt idx="115">
                  <c:v>0.42455391423701072</c:v>
                </c:pt>
                <c:pt idx="116">
                  <c:v>0.42375988950513804</c:v>
                </c:pt>
                <c:pt idx="117">
                  <c:v>0.42297535990807977</c:v>
                </c:pt>
                <c:pt idx="118">
                  <c:v>0.42220012871075485</c:v>
                </c:pt>
                <c:pt idx="119">
                  <c:v>0.42143400492018568</c:v>
                </c:pt>
                <c:pt idx="120">
                  <c:v>0.42067680307047978</c:v>
                </c:pt>
                <c:pt idx="121">
                  <c:v>0.41992834301759613</c:v>
                </c:pt>
                <c:pt idx="122">
                  <c:v>0.41918844974338476</c:v>
                </c:pt>
                <c:pt idx="123">
                  <c:v>0.41845695316839782</c:v>
                </c:pt>
                <c:pt idx="124">
                  <c:v>0.41773368797301169</c:v>
                </c:pt>
                <c:pt idx="125">
                  <c:v>0.41701849342643921</c:v>
                </c:pt>
                <c:pt idx="126">
                  <c:v>0.4163112132231987</c:v>
                </c:pt>
                <c:pt idx="127">
                  <c:v>0.41561169532668862</c:v>
                </c:pt>
                <c:pt idx="128">
                  <c:v>0.41491979181947675</c:v>
                </c:pt>
                <c:pt idx="129">
                  <c:v>0.41423535875998574</c:v>
                </c:pt>
                <c:pt idx="130">
                  <c:v>0.4135582560452416</c:v>
                </c:pt>
                <c:pt idx="131">
                  <c:v>0.41288834727938967</c:v>
                </c:pt>
                <c:pt idx="132">
                  <c:v>0.41222549964769389</c:v>
                </c:pt>
                <c:pt idx="133">
                  <c:v>0.41156958379574438</c:v>
                </c:pt>
                <c:pt idx="134">
                  <c:v>0.41092047371363061</c:v>
                </c:pt>
                <c:pt idx="135">
                  <c:v>0.41027804662482659</c:v>
                </c:pt>
                <c:pt idx="136">
                  <c:v>0.4096421828795771</c:v>
                </c:pt>
                <c:pt idx="137">
                  <c:v>0.40901276585256219</c:v>
                </c:pt>
                <c:pt idx="138">
                  <c:v>0.40838968184463542</c:v>
                </c:pt>
                <c:pt idx="139">
                  <c:v>0.40777281998845949</c:v>
                </c:pt>
                <c:pt idx="140">
                  <c:v>0.40716207215783579</c:v>
                </c:pt>
                <c:pt idx="141">
                  <c:v>0.40655733288057894</c:v>
                </c:pt>
                <c:pt idx="142">
                  <c:v>0.40595849925476163</c:v>
                </c:pt>
                <c:pt idx="143">
                  <c:v>0.40536547086817587</c:v>
                </c:pt>
                <c:pt idx="144">
                  <c:v>0.40477814972087378</c:v>
                </c:pt>
                <c:pt idx="145">
                  <c:v>0.40419644015063888</c:v>
                </c:pt>
                <c:pt idx="146">
                  <c:v>0.40362024876126845</c:v>
                </c:pt>
                <c:pt idx="147">
                  <c:v>0.4030494843535315</c:v>
                </c:pt>
                <c:pt idx="148">
                  <c:v>0.40248405785869196</c:v>
                </c:pt>
                <c:pt idx="149">
                  <c:v>0.40192388227448578</c:v>
                </c:pt>
                <c:pt idx="150">
                  <c:v>0.40136887260343718</c:v>
                </c:pt>
                <c:pt idx="151">
                  <c:v>0.40081894579342436</c:v>
                </c:pt>
                <c:pt idx="152">
                  <c:v>0.40027402068038903</c:v>
                </c:pt>
                <c:pt idx="153">
                  <c:v>0.3997340179331042</c:v>
                </c:pt>
                <c:pt idx="154">
                  <c:v>0.39919885999990939</c:v>
                </c:pt>
                <c:pt idx="155">
                  <c:v>0.39866847105733955</c:v>
                </c:pt>
                <c:pt idx="156">
                  <c:v>0.39814277696055139</c:v>
                </c:pt>
                <c:pt idx="157">
                  <c:v>0.39762170519549239</c:v>
                </c:pt>
                <c:pt idx="158">
                  <c:v>0.39710518483272711</c:v>
                </c:pt>
                <c:pt idx="159">
                  <c:v>0.39659314648285843</c:v>
                </c:pt>
                <c:pt idx="160">
                  <c:v>0.39608552225348065</c:v>
                </c:pt>
                <c:pt idx="161">
                  <c:v>0.39558224570759604</c:v>
                </c:pt>
                <c:pt idx="162">
                  <c:v>0.3950832518234394</c:v>
                </c:pt>
                <c:pt idx="163">
                  <c:v>0.39458847695566462</c:v>
                </c:pt>
                <c:pt idx="164">
                  <c:v>0.39409785879781423</c:v>
                </c:pt>
                <c:pt idx="165">
                  <c:v>0.39361133634605144</c:v>
                </c:pt>
                <c:pt idx="166">
                  <c:v>0.39312884986408447</c:v>
                </c:pt>
                <c:pt idx="167">
                  <c:v>0.39265034084923911</c:v>
                </c:pt>
                <c:pt idx="168">
                  <c:v>0.39217575199964827</c:v>
                </c:pt>
                <c:pt idx="169">
                  <c:v>0.39170502718249772</c:v>
                </c:pt>
                <c:pt idx="170">
                  <c:v>0.39123811140330311</c:v>
                </c:pt>
                <c:pt idx="171">
                  <c:v>0.39077495077616653</c:v>
                </c:pt>
                <c:pt idx="172">
                  <c:v>0.39031549249498648</c:v>
                </c:pt>
                <c:pt idx="173">
                  <c:v>0.3898596848055742</c:v>
                </c:pt>
                <c:pt idx="174">
                  <c:v>0.38940747697865474</c:v>
                </c:pt>
                <c:pt idx="175">
                  <c:v>0.38895881928371256</c:v>
                </c:pt>
                <c:pt idx="176">
                  <c:v>0.38851366296364548</c:v>
                </c:pt>
                <c:pt idx="177">
                  <c:v>0.38807196021021501</c:v>
                </c:pt>
                <c:pt idx="178">
                  <c:v>0.38763366414024047</c:v>
                </c:pt>
                <c:pt idx="179">
                  <c:v>0.3871987287725302</c:v>
                </c:pt>
                <c:pt idx="180">
                  <c:v>0.38676710900551264</c:v>
                </c:pt>
                <c:pt idx="181">
                  <c:v>0.38633876059554528</c:v>
                </c:pt>
                <c:pt idx="182">
                  <c:v>0.38591364013587187</c:v>
                </c:pt>
                <c:pt idx="183">
                  <c:v>0.38549170503622054</c:v>
                </c:pt>
                <c:pt idx="184">
                  <c:v>0.38507291350299477</c:v>
                </c:pt>
                <c:pt idx="185">
                  <c:v>0.38465722452006529</c:v>
                </c:pt>
                <c:pt idx="186">
                  <c:v>0.38424459783011705</c:v>
                </c:pt>
                <c:pt idx="187">
                  <c:v>0.38383499391654874</c:v>
                </c:pt>
                <c:pt idx="188">
                  <c:v>0.38342837398589569</c:v>
                </c:pt>
                <c:pt idx="189">
                  <c:v>0.38302469995076599</c:v>
                </c:pt>
                <c:pt idx="190">
                  <c:v>0.38262393441326331</c:v>
                </c:pt>
                <c:pt idx="191">
                  <c:v>0.38222604064889248</c:v>
                </c:pt>
                <c:pt idx="192">
                  <c:v>0.38183098259091391</c:v>
                </c:pt>
                <c:pt idx="193">
                  <c:v>0.38143872481515267</c:v>
                </c:pt>
                <c:pt idx="194">
                  <c:v>0.3810492325252286</c:v>
                </c:pt>
                <c:pt idx="195">
                  <c:v>0.38066247153820282</c:v>
                </c:pt>
                <c:pt idx="196">
                  <c:v>0.38027840827062709</c:v>
                </c:pt>
                <c:pt idx="197">
                  <c:v>0.37989700972498003</c:v>
                </c:pt>
                <c:pt idx="198">
                  <c:v>0.37951824347647689</c:v>
                </c:pt>
              </c:numCache>
            </c:numRef>
          </c:yVal>
          <c:smooth val="0"/>
        </c:ser>
        <c:ser>
          <c:idx val="21"/>
          <c:order val="9"/>
          <c:tx>
            <c:strRef>
              <c:f>协调曲线图!$F$88</c:f>
              <c:strCache>
                <c:ptCount val="1"/>
                <c:pt idx="0">
                  <c:v>--------------------Lco-20Kv馈线</c:v>
                </c:pt>
              </c:strCache>
            </c:strRef>
          </c:tx>
          <c:spPr>
            <a:ln w="25400">
              <a:solidFill>
                <a:srgbClr val="000000"/>
              </a:solidFill>
              <a:prstDash val="lg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0.13163307416761583"/>
                  <c:y val="7.37387657382124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曲線Lever計算!$T$9:$T$207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曲線Lever計算!$R$9:$R$207</c:f>
              <c:numCache>
                <c:formatCode>General</c:formatCode>
                <c:ptCount val="199"/>
                <c:pt idx="0">
                  <c:v>3.7144544518692117</c:v>
                </c:pt>
                <c:pt idx="1">
                  <c:v>2.3340484915528159</c:v>
                </c:pt>
                <c:pt idx="2">
                  <c:v>1.8443541139449617</c:v>
                </c:pt>
                <c:pt idx="3">
                  <c:v>1.585081507757546</c:v>
                </c:pt>
                <c:pt idx="4">
                  <c:v>1.4211823904150027</c:v>
                </c:pt>
                <c:pt idx="5">
                  <c:v>1.3065712706771435</c:v>
                </c:pt>
                <c:pt idx="6">
                  <c:v>1.2210272658447576</c:v>
                </c:pt>
                <c:pt idx="7">
                  <c:v>1.1542036897883172</c:v>
                </c:pt>
                <c:pt idx="8">
                  <c:v>1.1002217126623761</c:v>
                </c:pt>
                <c:pt idx="9">
                  <c:v>1.0554763805260789</c:v>
                </c:pt>
                <c:pt idx="10">
                  <c:v>1.0176248216140533</c:v>
                </c:pt>
                <c:pt idx="11">
                  <c:v>0.98507302914609696</c:v>
                </c:pt>
                <c:pt idx="12">
                  <c:v>0.95669556417924473</c:v>
                </c:pt>
                <c:pt idx="13">
                  <c:v>0.93167313295248877</c:v>
                </c:pt>
                <c:pt idx="14">
                  <c:v>0.909393787323032</c:v>
                </c:pt>
                <c:pt idx="15">
                  <c:v>0.88939033881201845</c:v>
                </c:pt>
                <c:pt idx="16">
                  <c:v>0.87129932457272674</c:v>
                </c:pt>
                <c:pt idx="17">
                  <c:v>0.85483329604498215</c:v>
                </c:pt>
                <c:pt idx="18">
                  <c:v>0.83976161749891276</c:v>
                </c:pt>
                <c:pt idx="19">
                  <c:v>0.82589685775785215</c:v>
                </c:pt>
                <c:pt idx="20">
                  <c:v>0.81308495160852057</c:v>
                </c:pt>
                <c:pt idx="21">
                  <c:v>0.80119795914685188</c:v>
                </c:pt>
                <c:pt idx="22">
                  <c:v>0.7901286515098298</c:v>
                </c:pt>
                <c:pt idx="23">
                  <c:v>0.77978640374436003</c:v>
                </c:pt>
                <c:pt idx="24">
                  <c:v>0.77009403842315916</c:v>
                </c:pt>
                <c:pt idx="25">
                  <c:v>0.76098537100484576</c:v>
                </c:pt>
                <c:pt idx="26">
                  <c:v>0.75240328012593716</c:v>
                </c:pt>
                <c:pt idx="27">
                  <c:v>0.74429817540301535</c:v>
                </c:pt>
                <c:pt idx="28">
                  <c:v>0.73662676966348184</c:v>
                </c:pt>
                <c:pt idx="29">
                  <c:v>0.729351086754228</c:v>
                </c:pt>
                <c:pt idx="30">
                  <c:v>0.72243765341030231</c:v>
                </c:pt>
                <c:pt idx="31">
                  <c:v>0.71585683622067164</c:v>
                </c:pt>
                <c:pt idx="32">
                  <c:v>0.7095822939297729</c:v>
                </c:pt>
                <c:pt idx="33">
                  <c:v>0.70359052213076034</c:v>
                </c:pt>
                <c:pt idx="34">
                  <c:v>0.69786047250863414</c:v>
                </c:pt>
                <c:pt idx="35">
                  <c:v>0.69237323264656414</c:v>
                </c:pt>
                <c:pt idx="36">
                  <c:v>0.6871117553473326</c:v>
                </c:pt>
                <c:pt idx="37">
                  <c:v>0.68206062868068185</c:v>
                </c:pt>
                <c:pt idx="38">
                  <c:v>0.67720587971736945</c:v>
                </c:pt>
                <c:pt idx="39">
                  <c:v>0.67253480627640105</c:v>
                </c:pt>
                <c:pt idx="40">
                  <c:v>0.66803583208532857</c:v>
                </c:pt>
                <c:pt idx="41">
                  <c:v>0.66369838160258865</c:v>
                </c:pt>
                <c:pt idx="42">
                  <c:v>0.65951277142681441</c:v>
                </c:pt>
                <c:pt idx="43">
                  <c:v>0.65547011575937064</c:v>
                </c:pt>
                <c:pt idx="44">
                  <c:v>0.65156224382217087</c:v>
                </c:pt>
                <c:pt idx="45">
                  <c:v>0.64778162748579537</c:v>
                </c:pt>
                <c:pt idx="46">
                  <c:v>0.64412131765005609</c:v>
                </c:pt>
                <c:pt idx="47">
                  <c:v>0.64057488815393449</c:v>
                </c:pt>
                <c:pt idx="48">
                  <c:v>0.63713638618474011</c:v>
                </c:pt>
                <c:pt idx="49">
                  <c:v>0.6338002883154511</c:v>
                </c:pt>
                <c:pt idx="50">
                  <c:v>0.63056146143106395</c:v>
                </c:pt>
                <c:pt idx="51">
                  <c:v>0.62741512791452636</c:v>
                </c:pt>
                <c:pt idx="52">
                  <c:v>0.62435683455438551</c:v>
                </c:pt>
                <c:pt idx="53">
                  <c:v>0.62138242471317462</c:v>
                </c:pt>
                <c:pt idx="54">
                  <c:v>0.61848801336010073</c:v>
                </c:pt>
                <c:pt idx="55">
                  <c:v>0.61566996462620371</c:v>
                </c:pt>
                <c:pt idx="56">
                  <c:v>0.61292487158633202</c:v>
                </c:pt>
                <c:pt idx="57">
                  <c:v>0.61024953801152626</c:v>
                </c:pt>
                <c:pt idx="58">
                  <c:v>0.60764096186887551</c:v>
                </c:pt>
                <c:pt idx="59">
                  <c:v>0.60509632037450234</c:v>
                </c:pt>
                <c:pt idx="60">
                  <c:v>0.60261295642982027</c:v>
                </c:pt>
                <c:pt idx="61">
                  <c:v>0.60018836629230377</c:v>
                </c:pt>
                <c:pt idx="62">
                  <c:v>0.59782018835014417</c:v>
                </c:pt>
                <c:pt idx="63">
                  <c:v>0.59550619288586071</c:v>
                </c:pt>
                <c:pt idx="64">
                  <c:v>0.59324427272753077</c:v>
                </c:pt>
                <c:pt idx="65">
                  <c:v>0.59103243469806177</c:v>
                </c:pt>
                <c:pt idx="66">
                  <c:v>0.58886879178323703</c:v>
                </c:pt>
                <c:pt idx="67">
                  <c:v>0.5867515559481794</c:v>
                </c:pt>
                <c:pt idx="68">
                  <c:v>0.58467903153973622</c:v>
                </c:pt>
                <c:pt idx="69">
                  <c:v>0.58264960921909903</c:v>
                </c:pt>
                <c:pt idx="70">
                  <c:v>0.58066176037502726</c:v>
                </c:pt>
                <c:pt idx="71">
                  <c:v>0.57871403197328763</c:v>
                </c:pt>
                <c:pt idx="72">
                  <c:v>0.57680504180264025</c:v>
                </c:pt>
                <c:pt idx="73">
                  <c:v>0.57493347408174234</c:v>
                </c:pt>
                <c:pt idx="74">
                  <c:v>0.57309807539502977</c:v>
                </c:pt>
                <c:pt idx="75">
                  <c:v>0.57129765092884499</c:v>
                </c:pt>
                <c:pt idx="76">
                  <c:v>0.56953106098192374</c:v>
                </c:pt>
                <c:pt idx="77">
                  <c:v>0.56779721772690261</c:v>
                </c:pt>
                <c:pt idx="78">
                  <c:v>0.56609508220177918</c:v>
                </c:pt>
                <c:pt idx="79">
                  <c:v>0.56442366151225376</c:v>
                </c:pt>
                <c:pt idx="80">
                  <c:v>0.56278200622770169</c:v>
                </c:pt>
                <c:pt idx="81">
                  <c:v>0.5611692079551136</c:v>
                </c:pt>
                <c:pt idx="82">
                  <c:v>0.55958439707680785</c:v>
                </c:pt>
                <c:pt idx="83">
                  <c:v>0.55802674063899271</c:v>
                </c:pt>
                <c:pt idx="84">
                  <c:v>0.55649544037942944</c:v>
                </c:pt>
                <c:pt idx="85">
                  <c:v>0.55498973088347336</c:v>
                </c:pt>
                <c:pt idx="86">
                  <c:v>0.55350887785874425</c:v>
                </c:pt>
                <c:pt idx="87">
                  <c:v>0.55205217651949057</c:v>
                </c:pt>
                <c:pt idx="88">
                  <c:v>0.55061895007249217</c:v>
                </c:pt>
                <c:pt idx="89">
                  <c:v>0.54920854829704824</c:v>
                </c:pt>
                <c:pt idx="90">
                  <c:v>0.54782034621220665</c:v>
                </c:pt>
                <c:pt idx="91">
                  <c:v>0.54645374282495307</c:v>
                </c:pt>
                <c:pt idx="92">
                  <c:v>0.54510815995363049</c:v>
                </c:pt>
                <c:pt idx="93">
                  <c:v>0.54378304112127729</c:v>
                </c:pt>
                <c:pt idx="94">
                  <c:v>0.54247785051403064</c:v>
                </c:pt>
                <c:pt idx="95">
                  <c:v>0.54119207200011099</c:v>
                </c:pt>
                <c:pt idx="96">
                  <c:v>0.53992520820527201</c:v>
                </c:pt>
                <c:pt idx="97">
                  <c:v>0.53867677964090344</c:v>
                </c:pt>
                <c:pt idx="98">
                  <c:v>0.53744632388127944</c:v>
                </c:pt>
                <c:pt idx="99">
                  <c:v>0.53623339478670162</c:v>
                </c:pt>
                <c:pt idx="100">
                  <c:v>0.53503756176954331</c:v>
                </c:pt>
                <c:pt idx="101">
                  <c:v>0.53385840910042925</c:v>
                </c:pt>
                <c:pt idx="102">
                  <c:v>0.5326955352519529</c:v>
                </c:pt>
                <c:pt idx="103">
                  <c:v>0.53154855227757891</c:v>
                </c:pt>
                <c:pt idx="104">
                  <c:v>0.53041708522350628</c:v>
                </c:pt>
                <c:pt idx="105">
                  <c:v>0.52930077157144617</c:v>
                </c:pt>
                <c:pt idx="106">
                  <c:v>0.52819926071040246</c:v>
                </c:pt>
                <c:pt idx="107">
                  <c:v>0.52711221343570092</c:v>
                </c:pt>
                <c:pt idx="108">
                  <c:v>0.52603930147360067</c:v>
                </c:pt>
                <c:pt idx="109">
                  <c:v>0.52498020702997061</c:v>
                </c:pt>
                <c:pt idx="110">
                  <c:v>0.52393462236159105</c:v>
                </c:pt>
                <c:pt idx="111">
                  <c:v>0.52290224936876339</c:v>
                </c:pt>
                <c:pt idx="112">
                  <c:v>0.52188279920796965</c:v>
                </c:pt>
                <c:pt idx="113">
                  <c:v>0.52087599192343703</c:v>
                </c:pt>
                <c:pt idx="114">
                  <c:v>0.51988155609652364</c:v>
                </c:pt>
                <c:pt idx="115">
                  <c:v>0.51889922851190196</c:v>
                </c:pt>
                <c:pt idx="116">
                  <c:v>0.51792875383961312</c:v>
                </c:pt>
                <c:pt idx="117">
                  <c:v>0.51696988433209745</c:v>
                </c:pt>
                <c:pt idx="118">
                  <c:v>0.516022379535367</c:v>
                </c:pt>
                <c:pt idx="119">
                  <c:v>0.51508600601356025</c:v>
                </c:pt>
                <c:pt idx="120">
                  <c:v>0.51416053708614196</c:v>
                </c:pt>
                <c:pt idx="121">
                  <c:v>0.51324575257706195</c:v>
                </c:pt>
                <c:pt idx="122">
                  <c:v>0.51234143857524794</c:v>
                </c:pt>
                <c:pt idx="123">
                  <c:v>0.5114473872058195</c:v>
                </c:pt>
                <c:pt idx="124">
                  <c:v>0.51056339641145865</c:v>
                </c:pt>
                <c:pt idx="125">
                  <c:v>0.50968926974342565</c:v>
                </c:pt>
                <c:pt idx="126">
                  <c:v>0.50882481616168729</c:v>
                </c:pt>
                <c:pt idx="127">
                  <c:v>0.5079698498437305</c:v>
                </c:pt>
                <c:pt idx="128">
                  <c:v>0.5071241900015826</c:v>
                </c:pt>
                <c:pt idx="129">
                  <c:v>0.50628766070664921</c:v>
                </c:pt>
                <c:pt idx="130">
                  <c:v>0.50546009072196185</c:v>
                </c:pt>
                <c:pt idx="131">
                  <c:v>0.50464131334147622</c:v>
                </c:pt>
                <c:pt idx="132">
                  <c:v>0.50383116623607027</c:v>
                </c:pt>
                <c:pt idx="133">
                  <c:v>0.50302949130590979</c:v>
                </c:pt>
                <c:pt idx="134">
                  <c:v>0.50223613453888183</c:v>
                </c:pt>
                <c:pt idx="135">
                  <c:v>0.501450945874788</c:v>
                </c:pt>
                <c:pt idx="136">
                  <c:v>0.50067377907503863</c:v>
                </c:pt>
                <c:pt idx="137">
                  <c:v>0.49990449159757594</c:v>
                </c:pt>
                <c:pt idx="138">
                  <c:v>0.4991429444767766</c:v>
                </c:pt>
                <c:pt idx="139">
                  <c:v>0.4983890022081171</c:v>
                </c:pt>
                <c:pt idx="140">
                  <c:v>0.49764253263735481</c:v>
                </c:pt>
                <c:pt idx="141">
                  <c:v>0.49690340685404089</c:v>
                </c:pt>
                <c:pt idx="142">
                  <c:v>0.49617149908915309</c:v>
                </c:pt>
                <c:pt idx="143">
                  <c:v>0.49544668661665936</c:v>
                </c:pt>
                <c:pt idx="144">
                  <c:v>0.49472884965884573</c:v>
                </c:pt>
                <c:pt idx="145">
                  <c:v>0.49401787129522523</c:v>
                </c:pt>
                <c:pt idx="146">
                  <c:v>0.49331363737488365</c:v>
                </c:pt>
                <c:pt idx="147">
                  <c:v>0.49261603643209401</c:v>
                </c:pt>
                <c:pt idx="148">
                  <c:v>0.49192495960506794</c:v>
                </c:pt>
                <c:pt idx="149">
                  <c:v>0.49124030055770485</c:v>
                </c:pt>
                <c:pt idx="150">
                  <c:v>0.49056195540420094</c:v>
                </c:pt>
                <c:pt idx="151">
                  <c:v>0.48988982263640751</c:v>
                </c:pt>
                <c:pt idx="152">
                  <c:v>0.4892238030538088</c:v>
                </c:pt>
                <c:pt idx="153">
                  <c:v>0.48856379969601615</c:v>
                </c:pt>
                <c:pt idx="154">
                  <c:v>0.48790971777766701</c:v>
                </c:pt>
                <c:pt idx="155">
                  <c:v>0.48726146462563719</c:v>
                </c:pt>
                <c:pt idx="156">
                  <c:v>0.48661894961845165</c:v>
                </c:pt>
                <c:pt idx="157">
                  <c:v>0.48598208412782395</c:v>
                </c:pt>
                <c:pt idx="158">
                  <c:v>0.48535078146222199</c:v>
                </c:pt>
                <c:pt idx="159">
                  <c:v>0.48472495681238248</c:v>
                </c:pt>
                <c:pt idx="160">
                  <c:v>0.48410452719869851</c:v>
                </c:pt>
                <c:pt idx="161">
                  <c:v>0.48348941142039509</c:v>
                </c:pt>
                <c:pt idx="162">
                  <c:v>0.48287953000642592</c:v>
                </c:pt>
                <c:pt idx="163">
                  <c:v>0.4822748051680345</c:v>
                </c:pt>
                <c:pt idx="164">
                  <c:v>0.48167516075288397</c:v>
                </c:pt>
                <c:pt idx="165">
                  <c:v>0.48108052220072955</c:v>
                </c:pt>
                <c:pt idx="166">
                  <c:v>0.48049081650054765</c:v>
                </c:pt>
                <c:pt idx="167">
                  <c:v>0.47990597214906999</c:v>
                </c:pt>
                <c:pt idx="168">
                  <c:v>0.47932591911068118</c:v>
                </c:pt>
                <c:pt idx="169">
                  <c:v>0.47875058877860827</c:v>
                </c:pt>
                <c:pt idx="170">
                  <c:v>0.47817991393737042</c:v>
                </c:pt>
                <c:pt idx="171">
                  <c:v>0.47761382872642577</c:v>
                </c:pt>
                <c:pt idx="172">
                  <c:v>0.47705226860498345</c:v>
                </c:pt>
                <c:pt idx="173">
                  <c:v>0.47649517031792399</c:v>
                </c:pt>
                <c:pt idx="174">
                  <c:v>0.47594247186280025</c:v>
                </c:pt>
                <c:pt idx="175">
                  <c:v>0.47539411245787089</c:v>
                </c:pt>
                <c:pt idx="176">
                  <c:v>0.47485003251112223</c:v>
                </c:pt>
                <c:pt idx="177">
                  <c:v>0.47431017359026273</c:v>
                </c:pt>
                <c:pt idx="178">
                  <c:v>0.47377447839362719</c:v>
                </c:pt>
                <c:pt idx="179">
                  <c:v>0.47324289072198128</c:v>
                </c:pt>
                <c:pt idx="180">
                  <c:v>0.47271535545118204</c:v>
                </c:pt>
                <c:pt idx="181">
                  <c:v>0.47219181850566644</c:v>
                </c:pt>
                <c:pt idx="182">
                  <c:v>0.47167222683273224</c:v>
                </c:pt>
                <c:pt idx="183">
                  <c:v>0.47115652837760286</c:v>
                </c:pt>
                <c:pt idx="184">
                  <c:v>0.47064467205921579</c:v>
                </c:pt>
                <c:pt idx="185">
                  <c:v>0.47013660774674643</c:v>
                </c:pt>
                <c:pt idx="186">
                  <c:v>0.46963228623680969</c:v>
                </c:pt>
                <c:pt idx="187">
                  <c:v>0.46913165923133732</c:v>
                </c:pt>
                <c:pt idx="188">
                  <c:v>0.46863467931609465</c:v>
                </c:pt>
                <c:pt idx="189">
                  <c:v>0.46814129993982506</c:v>
                </c:pt>
                <c:pt idx="190">
                  <c:v>0.46765147539398849</c:v>
                </c:pt>
                <c:pt idx="191">
                  <c:v>0.46716516079309073</c:v>
                </c:pt>
                <c:pt idx="192">
                  <c:v>0.46668231205556143</c:v>
                </c:pt>
                <c:pt idx="193">
                  <c:v>0.4662028858851866</c:v>
                </c:pt>
                <c:pt idx="194">
                  <c:v>0.46572683975305718</c:v>
                </c:pt>
                <c:pt idx="195">
                  <c:v>0.46525413188002562</c:v>
                </c:pt>
                <c:pt idx="196">
                  <c:v>0.46478472121965531</c:v>
                </c:pt>
                <c:pt idx="197">
                  <c:v>0.46431856744164224</c:v>
                </c:pt>
                <c:pt idx="198">
                  <c:v>0.46385563091569393</c:v>
                </c:pt>
              </c:numCache>
            </c:numRef>
          </c:yVal>
          <c:smooth val="0"/>
        </c:ser>
        <c:ser>
          <c:idx val="22"/>
          <c:order val="10"/>
          <c:tx>
            <c:strRef>
              <c:f>协调曲线图!$F$89</c:f>
              <c:strCache>
                <c:ptCount val="1"/>
                <c:pt idx="0">
                  <c:v>--------------------Lco-20Kv母联</c:v>
                </c:pt>
              </c:strCache>
            </c:strRef>
          </c:tx>
          <c:spPr>
            <a:ln w="25400">
              <a:solidFill>
                <a:srgbClr val="FF00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0.20734917307244397"/>
                  <c:y val="0.1322943935846669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FF0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曲線Lever計算!$Y$9:$Y$207</c:f>
              <c:numCache>
                <c:formatCode>General</c:formatCode>
                <c:ptCount val="199"/>
                <c:pt idx="0">
                  <c:v>30</c:v>
                </c:pt>
                <c:pt idx="1">
                  <c:v>45</c:v>
                </c:pt>
                <c:pt idx="2">
                  <c:v>60</c:v>
                </c:pt>
                <c:pt idx="3">
                  <c:v>75</c:v>
                </c:pt>
                <c:pt idx="4">
                  <c:v>90</c:v>
                </c:pt>
                <c:pt idx="5">
                  <c:v>105</c:v>
                </c:pt>
                <c:pt idx="6">
                  <c:v>120</c:v>
                </c:pt>
                <c:pt idx="7">
                  <c:v>135</c:v>
                </c:pt>
                <c:pt idx="8">
                  <c:v>150</c:v>
                </c:pt>
                <c:pt idx="9">
                  <c:v>150</c:v>
                </c:pt>
                <c:pt idx="10">
                  <c:v>150</c:v>
                </c:pt>
                <c:pt idx="11">
                  <c:v>150</c:v>
                </c:pt>
                <c:pt idx="12">
                  <c:v>150</c:v>
                </c:pt>
                <c:pt idx="13">
                  <c:v>150</c:v>
                </c:pt>
                <c:pt idx="14">
                  <c:v>150</c:v>
                </c:pt>
                <c:pt idx="15">
                  <c:v>150</c:v>
                </c:pt>
                <c:pt idx="16">
                  <c:v>150</c:v>
                </c:pt>
                <c:pt idx="17">
                  <c:v>150</c:v>
                </c:pt>
                <c:pt idx="18">
                  <c:v>150</c:v>
                </c:pt>
                <c:pt idx="19">
                  <c:v>150</c:v>
                </c:pt>
                <c:pt idx="20">
                  <c:v>150</c:v>
                </c:pt>
                <c:pt idx="21">
                  <c:v>150</c:v>
                </c:pt>
                <c:pt idx="22">
                  <c:v>150</c:v>
                </c:pt>
                <c:pt idx="23">
                  <c:v>150</c:v>
                </c:pt>
                <c:pt idx="24">
                  <c:v>150</c:v>
                </c:pt>
                <c:pt idx="25">
                  <c:v>150</c:v>
                </c:pt>
                <c:pt idx="26">
                  <c:v>150</c:v>
                </c:pt>
                <c:pt idx="27">
                  <c:v>150</c:v>
                </c:pt>
                <c:pt idx="28">
                  <c:v>150</c:v>
                </c:pt>
                <c:pt idx="29">
                  <c:v>150</c:v>
                </c:pt>
                <c:pt idx="30">
                  <c:v>150</c:v>
                </c:pt>
                <c:pt idx="31">
                  <c:v>150</c:v>
                </c:pt>
                <c:pt idx="32">
                  <c:v>150</c:v>
                </c:pt>
                <c:pt idx="33">
                  <c:v>150</c:v>
                </c:pt>
                <c:pt idx="34">
                  <c:v>150</c:v>
                </c:pt>
                <c:pt idx="35">
                  <c:v>150</c:v>
                </c:pt>
                <c:pt idx="36">
                  <c:v>150</c:v>
                </c:pt>
                <c:pt idx="37">
                  <c:v>150</c:v>
                </c:pt>
                <c:pt idx="38">
                  <c:v>150</c:v>
                </c:pt>
                <c:pt idx="39">
                  <c:v>150</c:v>
                </c:pt>
                <c:pt idx="40">
                  <c:v>150</c:v>
                </c:pt>
                <c:pt idx="41">
                  <c:v>150</c:v>
                </c:pt>
                <c:pt idx="42">
                  <c:v>150</c:v>
                </c:pt>
                <c:pt idx="43">
                  <c:v>150</c:v>
                </c:pt>
                <c:pt idx="44">
                  <c:v>150</c:v>
                </c:pt>
                <c:pt idx="45">
                  <c:v>150</c:v>
                </c:pt>
                <c:pt idx="46">
                  <c:v>150</c:v>
                </c:pt>
                <c:pt idx="47">
                  <c:v>150</c:v>
                </c:pt>
                <c:pt idx="48">
                  <c:v>150</c:v>
                </c:pt>
                <c:pt idx="49">
                  <c:v>150</c:v>
                </c:pt>
                <c:pt idx="50">
                  <c:v>150</c:v>
                </c:pt>
                <c:pt idx="51">
                  <c:v>150</c:v>
                </c:pt>
                <c:pt idx="52">
                  <c:v>150</c:v>
                </c:pt>
                <c:pt idx="53">
                  <c:v>150</c:v>
                </c:pt>
                <c:pt idx="54">
                  <c:v>150</c:v>
                </c:pt>
                <c:pt idx="55">
                  <c:v>150</c:v>
                </c:pt>
                <c:pt idx="56">
                  <c:v>150</c:v>
                </c:pt>
                <c:pt idx="57">
                  <c:v>150</c:v>
                </c:pt>
                <c:pt idx="58">
                  <c:v>150</c:v>
                </c:pt>
                <c:pt idx="59">
                  <c:v>150</c:v>
                </c:pt>
                <c:pt idx="60">
                  <c:v>150</c:v>
                </c:pt>
                <c:pt idx="61">
                  <c:v>150</c:v>
                </c:pt>
                <c:pt idx="62">
                  <c:v>150</c:v>
                </c:pt>
                <c:pt idx="63">
                  <c:v>150</c:v>
                </c:pt>
                <c:pt idx="64">
                  <c:v>150</c:v>
                </c:pt>
                <c:pt idx="65">
                  <c:v>150</c:v>
                </c:pt>
                <c:pt idx="66">
                  <c:v>150</c:v>
                </c:pt>
                <c:pt idx="67">
                  <c:v>150</c:v>
                </c:pt>
                <c:pt idx="68">
                  <c:v>150</c:v>
                </c:pt>
                <c:pt idx="69">
                  <c:v>150</c:v>
                </c:pt>
                <c:pt idx="70">
                  <c:v>150</c:v>
                </c:pt>
                <c:pt idx="71">
                  <c:v>150</c:v>
                </c:pt>
                <c:pt idx="72">
                  <c:v>150</c:v>
                </c:pt>
                <c:pt idx="73">
                  <c:v>150</c:v>
                </c:pt>
                <c:pt idx="74">
                  <c:v>150</c:v>
                </c:pt>
                <c:pt idx="75">
                  <c:v>150</c:v>
                </c:pt>
                <c:pt idx="76">
                  <c:v>150</c:v>
                </c:pt>
                <c:pt idx="77">
                  <c:v>150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150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150</c:v>
                </c:pt>
                <c:pt idx="87">
                  <c:v>150</c:v>
                </c:pt>
                <c:pt idx="88">
                  <c:v>150</c:v>
                </c:pt>
                <c:pt idx="89">
                  <c:v>150</c:v>
                </c:pt>
                <c:pt idx="90">
                  <c:v>150</c:v>
                </c:pt>
                <c:pt idx="91">
                  <c:v>150</c:v>
                </c:pt>
                <c:pt idx="92">
                  <c:v>150</c:v>
                </c:pt>
                <c:pt idx="93">
                  <c:v>150</c:v>
                </c:pt>
                <c:pt idx="94">
                  <c:v>150</c:v>
                </c:pt>
                <c:pt idx="95">
                  <c:v>150</c:v>
                </c:pt>
                <c:pt idx="96">
                  <c:v>150</c:v>
                </c:pt>
                <c:pt idx="97">
                  <c:v>150</c:v>
                </c:pt>
                <c:pt idx="98">
                  <c:v>150</c:v>
                </c:pt>
                <c:pt idx="99">
                  <c:v>150</c:v>
                </c:pt>
                <c:pt idx="100">
                  <c:v>150</c:v>
                </c:pt>
                <c:pt idx="101">
                  <c:v>150</c:v>
                </c:pt>
                <c:pt idx="102">
                  <c:v>150</c:v>
                </c:pt>
                <c:pt idx="103">
                  <c:v>150</c:v>
                </c:pt>
                <c:pt idx="104">
                  <c:v>150</c:v>
                </c:pt>
                <c:pt idx="105">
                  <c:v>150</c:v>
                </c:pt>
                <c:pt idx="106">
                  <c:v>150</c:v>
                </c:pt>
                <c:pt idx="107">
                  <c:v>150</c:v>
                </c:pt>
                <c:pt idx="108">
                  <c:v>150</c:v>
                </c:pt>
                <c:pt idx="109">
                  <c:v>150</c:v>
                </c:pt>
                <c:pt idx="110">
                  <c:v>150</c:v>
                </c:pt>
                <c:pt idx="111">
                  <c:v>150</c:v>
                </c:pt>
                <c:pt idx="112">
                  <c:v>150</c:v>
                </c:pt>
                <c:pt idx="113">
                  <c:v>150</c:v>
                </c:pt>
                <c:pt idx="114">
                  <c:v>150</c:v>
                </c:pt>
                <c:pt idx="115">
                  <c:v>150</c:v>
                </c:pt>
                <c:pt idx="116">
                  <c:v>150</c:v>
                </c:pt>
                <c:pt idx="117">
                  <c:v>150</c:v>
                </c:pt>
                <c:pt idx="118">
                  <c:v>150</c:v>
                </c:pt>
                <c:pt idx="119">
                  <c:v>150</c:v>
                </c:pt>
                <c:pt idx="120">
                  <c:v>150</c:v>
                </c:pt>
                <c:pt idx="121">
                  <c:v>150</c:v>
                </c:pt>
                <c:pt idx="122">
                  <c:v>150</c:v>
                </c:pt>
                <c:pt idx="123">
                  <c:v>150</c:v>
                </c:pt>
                <c:pt idx="124">
                  <c:v>150</c:v>
                </c:pt>
                <c:pt idx="125">
                  <c:v>150</c:v>
                </c:pt>
                <c:pt idx="126">
                  <c:v>150</c:v>
                </c:pt>
                <c:pt idx="127">
                  <c:v>150</c:v>
                </c:pt>
                <c:pt idx="128">
                  <c:v>150</c:v>
                </c:pt>
                <c:pt idx="129">
                  <c:v>150</c:v>
                </c:pt>
                <c:pt idx="130">
                  <c:v>150</c:v>
                </c:pt>
                <c:pt idx="131">
                  <c:v>150</c:v>
                </c:pt>
                <c:pt idx="132">
                  <c:v>150</c:v>
                </c:pt>
                <c:pt idx="133">
                  <c:v>150</c:v>
                </c:pt>
                <c:pt idx="134">
                  <c:v>150</c:v>
                </c:pt>
                <c:pt idx="135">
                  <c:v>150</c:v>
                </c:pt>
                <c:pt idx="136">
                  <c:v>150</c:v>
                </c:pt>
                <c:pt idx="137">
                  <c:v>150</c:v>
                </c:pt>
                <c:pt idx="138">
                  <c:v>150</c:v>
                </c:pt>
                <c:pt idx="139">
                  <c:v>150</c:v>
                </c:pt>
                <c:pt idx="140">
                  <c:v>150</c:v>
                </c:pt>
                <c:pt idx="141">
                  <c:v>150</c:v>
                </c:pt>
                <c:pt idx="142">
                  <c:v>150</c:v>
                </c:pt>
                <c:pt idx="143">
                  <c:v>150</c:v>
                </c:pt>
                <c:pt idx="144">
                  <c:v>150</c:v>
                </c:pt>
                <c:pt idx="145">
                  <c:v>150</c:v>
                </c:pt>
                <c:pt idx="146">
                  <c:v>150</c:v>
                </c:pt>
                <c:pt idx="147">
                  <c:v>150</c:v>
                </c:pt>
                <c:pt idx="148">
                  <c:v>150</c:v>
                </c:pt>
                <c:pt idx="149">
                  <c:v>150</c:v>
                </c:pt>
                <c:pt idx="150">
                  <c:v>150</c:v>
                </c:pt>
                <c:pt idx="151">
                  <c:v>150</c:v>
                </c:pt>
                <c:pt idx="152">
                  <c:v>150</c:v>
                </c:pt>
                <c:pt idx="153">
                  <c:v>150</c:v>
                </c:pt>
                <c:pt idx="154">
                  <c:v>150</c:v>
                </c:pt>
                <c:pt idx="155">
                  <c:v>150</c:v>
                </c:pt>
                <c:pt idx="156">
                  <c:v>150</c:v>
                </c:pt>
                <c:pt idx="157">
                  <c:v>150</c:v>
                </c:pt>
                <c:pt idx="158">
                  <c:v>150</c:v>
                </c:pt>
                <c:pt idx="159">
                  <c:v>150</c:v>
                </c:pt>
                <c:pt idx="160">
                  <c:v>150</c:v>
                </c:pt>
                <c:pt idx="161">
                  <c:v>150</c:v>
                </c:pt>
                <c:pt idx="162">
                  <c:v>150</c:v>
                </c:pt>
                <c:pt idx="163">
                  <c:v>150</c:v>
                </c:pt>
                <c:pt idx="164">
                  <c:v>150</c:v>
                </c:pt>
                <c:pt idx="165">
                  <c:v>150</c:v>
                </c:pt>
                <c:pt idx="166">
                  <c:v>150</c:v>
                </c:pt>
                <c:pt idx="167">
                  <c:v>150</c:v>
                </c:pt>
                <c:pt idx="168">
                  <c:v>150</c:v>
                </c:pt>
                <c:pt idx="169">
                  <c:v>150</c:v>
                </c:pt>
                <c:pt idx="170">
                  <c:v>150</c:v>
                </c:pt>
                <c:pt idx="171">
                  <c:v>150</c:v>
                </c:pt>
                <c:pt idx="172">
                  <c:v>150</c:v>
                </c:pt>
                <c:pt idx="173">
                  <c:v>150</c:v>
                </c:pt>
                <c:pt idx="174">
                  <c:v>150</c:v>
                </c:pt>
                <c:pt idx="175">
                  <c:v>150</c:v>
                </c:pt>
                <c:pt idx="176">
                  <c:v>150</c:v>
                </c:pt>
                <c:pt idx="177">
                  <c:v>150</c:v>
                </c:pt>
                <c:pt idx="178">
                  <c:v>150</c:v>
                </c:pt>
                <c:pt idx="179">
                  <c:v>150</c:v>
                </c:pt>
                <c:pt idx="180">
                  <c:v>150</c:v>
                </c:pt>
                <c:pt idx="181">
                  <c:v>150</c:v>
                </c:pt>
                <c:pt idx="182">
                  <c:v>150</c:v>
                </c:pt>
                <c:pt idx="183">
                  <c:v>150</c:v>
                </c:pt>
                <c:pt idx="184">
                  <c:v>150</c:v>
                </c:pt>
                <c:pt idx="185">
                  <c:v>150</c:v>
                </c:pt>
                <c:pt idx="186">
                  <c:v>150</c:v>
                </c:pt>
                <c:pt idx="187">
                  <c:v>150</c:v>
                </c:pt>
                <c:pt idx="188">
                  <c:v>150</c:v>
                </c:pt>
                <c:pt idx="189">
                  <c:v>150</c:v>
                </c:pt>
                <c:pt idx="190">
                  <c:v>150</c:v>
                </c:pt>
                <c:pt idx="191">
                  <c:v>150</c:v>
                </c:pt>
                <c:pt idx="192">
                  <c:v>150</c:v>
                </c:pt>
                <c:pt idx="193">
                  <c:v>150</c:v>
                </c:pt>
                <c:pt idx="194">
                  <c:v>150</c:v>
                </c:pt>
                <c:pt idx="195">
                  <c:v>150</c:v>
                </c:pt>
                <c:pt idx="196">
                  <c:v>150</c:v>
                </c:pt>
                <c:pt idx="197">
                  <c:v>150</c:v>
                </c:pt>
                <c:pt idx="198">
                  <c:v>3000</c:v>
                </c:pt>
              </c:numCache>
            </c:numRef>
          </c:xVal>
          <c:yVal>
            <c:numRef>
              <c:f>曲線Lever計算!$W$9:$W$207</c:f>
              <c:numCache>
                <c:formatCode>General</c:formatCode>
                <c:ptCount val="199"/>
                <c:pt idx="0">
                  <c:v>4.3898098067545233</c:v>
                </c:pt>
                <c:pt idx="1">
                  <c:v>2.758420944562419</c:v>
                </c:pt>
                <c:pt idx="2">
                  <c:v>2.1796912255713186</c:v>
                </c:pt>
                <c:pt idx="3">
                  <c:v>1.8732781455316454</c:v>
                </c:pt>
                <c:pt idx="4">
                  <c:v>1.6795791886722762</c:v>
                </c:pt>
                <c:pt idx="5">
                  <c:v>1.5441296835275333</c:v>
                </c:pt>
                <c:pt idx="6">
                  <c:v>1.4430322232710773</c:v>
                </c:pt>
                <c:pt idx="7">
                  <c:v>1.3640589061134658</c:v>
                </c:pt>
                <c:pt idx="8">
                  <c:v>1.3002620240555354</c:v>
                </c:pt>
                <c:pt idx="9">
                  <c:v>1.247381176985366</c:v>
                </c:pt>
                <c:pt idx="10">
                  <c:v>1.2026475164529722</c:v>
                </c:pt>
                <c:pt idx="11">
                  <c:v>1.1641772162635693</c:v>
                </c:pt>
                <c:pt idx="12">
                  <c:v>1.1306402122118349</c:v>
                </c:pt>
                <c:pt idx="13">
                  <c:v>1.1010682480347596</c:v>
                </c:pt>
                <c:pt idx="14">
                  <c:v>1.0747381122908561</c:v>
                </c:pt>
                <c:pt idx="15">
                  <c:v>1.0510976731414765</c:v>
                </c:pt>
                <c:pt idx="16">
                  <c:v>1.0297173835859499</c:v>
                </c:pt>
                <c:pt idx="17">
                  <c:v>1.0102575316895244</c:v>
                </c:pt>
                <c:pt idx="18">
                  <c:v>0.99244554795326068</c:v>
                </c:pt>
                <c:pt idx="19">
                  <c:v>0.97605992280473441</c:v>
                </c:pt>
                <c:pt idx="20">
                  <c:v>0.96091857917370616</c:v>
                </c:pt>
                <c:pt idx="21">
                  <c:v>0.94687031535537058</c:v>
                </c:pt>
                <c:pt idx="22">
                  <c:v>0.93378840632979898</c:v>
                </c:pt>
                <c:pt idx="23">
                  <c:v>0.9215657498796983</c:v>
                </c:pt>
                <c:pt idx="24">
                  <c:v>0.910111136318279</c:v>
                </c:pt>
                <c:pt idx="25">
                  <c:v>0.89934634755118137</c:v>
                </c:pt>
                <c:pt idx="26">
                  <c:v>0.88920387651247124</c:v>
                </c:pt>
                <c:pt idx="27">
                  <c:v>0.87962511638538177</c:v>
                </c:pt>
                <c:pt idx="28">
                  <c:v>0.87055890960229676</c:v>
                </c:pt>
                <c:pt idx="29">
                  <c:v>0.8619603752549968</c:v>
                </c:pt>
                <c:pt idx="30">
                  <c:v>0.8537899540303574</c:v>
                </c:pt>
                <c:pt idx="31">
                  <c:v>0.84601262462443017</c:v>
                </c:pt>
                <c:pt idx="32">
                  <c:v>0.83859725646245897</c:v>
                </c:pt>
                <c:pt idx="33">
                  <c:v>0.83151607160908048</c:v>
                </c:pt>
                <c:pt idx="34">
                  <c:v>0.82474419478293126</c:v>
                </c:pt>
                <c:pt idx="35">
                  <c:v>0.81825927494593953</c:v>
                </c:pt>
                <c:pt idx="36">
                  <c:v>0.8120411654104841</c:v>
                </c:pt>
                <c:pt idx="37">
                  <c:v>0.80607165207716946</c:v>
                </c:pt>
                <c:pt idx="38">
                  <c:v>0.80033422148416389</c:v>
                </c:pt>
                <c:pt idx="39">
                  <c:v>0.7948138619630194</c:v>
                </c:pt>
                <c:pt idx="40">
                  <c:v>0.78949689246447929</c:v>
                </c:pt>
                <c:pt idx="41">
                  <c:v>0.78437081462124114</c:v>
                </c:pt>
                <c:pt idx="42">
                  <c:v>0.77942418441350803</c:v>
                </c:pt>
                <c:pt idx="43">
                  <c:v>0.77464650044289263</c:v>
                </c:pt>
                <c:pt idx="44">
                  <c:v>0.77002810633529284</c:v>
                </c:pt>
                <c:pt idx="45">
                  <c:v>0.76556010521048545</c:v>
                </c:pt>
                <c:pt idx="46">
                  <c:v>0.76123428449552089</c:v>
                </c:pt>
                <c:pt idx="47">
                  <c:v>0.75704304963646807</c:v>
                </c:pt>
                <c:pt idx="48">
                  <c:v>0.75297936549105648</c:v>
                </c:pt>
                <c:pt idx="49">
                  <c:v>0.74903670437280589</c:v>
                </c:pt>
                <c:pt idx="50">
                  <c:v>0.74520899987307565</c:v>
                </c:pt>
                <c:pt idx="51">
                  <c:v>0.74149060571716752</c:v>
                </c:pt>
                <c:pt idx="52">
                  <c:v>0.73787625901881937</c:v>
                </c:pt>
                <c:pt idx="53">
                  <c:v>0.73436104738829744</c:v>
                </c:pt>
                <c:pt idx="54">
                  <c:v>0.73094037942557366</c:v>
                </c:pt>
                <c:pt idx="55">
                  <c:v>0.7276099581946045</c:v>
                </c:pt>
                <c:pt idx="56">
                  <c:v>0.72436575732930153</c:v>
                </c:pt>
                <c:pt idx="57">
                  <c:v>0.72120399946816738</c:v>
                </c:pt>
                <c:pt idx="58">
                  <c:v>0.71812113675412559</c:v>
                </c:pt>
                <c:pt idx="59">
                  <c:v>0.71511383316986643</c:v>
                </c:pt>
                <c:pt idx="60">
                  <c:v>0.71217894850796948</c:v>
                </c:pt>
                <c:pt idx="61">
                  <c:v>0.70931352379999535</c:v>
                </c:pt>
                <c:pt idx="62">
                  <c:v>0.70651476805017044</c:v>
                </c:pt>
                <c:pt idx="63">
                  <c:v>0.7037800461378354</c:v>
                </c:pt>
                <c:pt idx="64">
                  <c:v>0.70110686776889997</c:v>
                </c:pt>
                <c:pt idx="65">
                  <c:v>0.69849287737043664</c:v>
                </c:pt>
                <c:pt idx="66">
                  <c:v>0.6959358448347347</c:v>
                </c:pt>
                <c:pt idx="67">
                  <c:v>0.69343365702966664</c:v>
                </c:pt>
                <c:pt idx="68">
                  <c:v>0.6909843100015064</c:v>
                </c:pt>
                <c:pt idx="69">
                  <c:v>0.68858590180438983</c:v>
                </c:pt>
                <c:pt idx="70">
                  <c:v>0.68623662589775958</c:v>
                </c:pt>
                <c:pt idx="71">
                  <c:v>0.68393476505933992</c:v>
                </c:pt>
                <c:pt idx="72">
                  <c:v>0.68167868576675672</c:v>
                </c:pt>
                <c:pt idx="73">
                  <c:v>0.67946683300569555</c:v>
                </c:pt>
                <c:pt idx="74">
                  <c:v>0.67729772546685341</c:v>
                </c:pt>
                <c:pt idx="75">
                  <c:v>0.67516995109772593</c:v>
                </c:pt>
                <c:pt idx="76">
                  <c:v>0.67308216297863721</c:v>
                </c:pt>
                <c:pt idx="77">
                  <c:v>0.67103307549543034</c:v>
                </c:pt>
                <c:pt idx="78">
                  <c:v>0.66902146078392088</c:v>
                </c:pt>
                <c:pt idx="79">
                  <c:v>0.66704614542357266</c:v>
                </c:pt>
                <c:pt idx="80">
                  <c:v>0.66510600736001102</c:v>
                </c:pt>
                <c:pt idx="81">
                  <c:v>0.6631999730378616</c:v>
                </c:pt>
                <c:pt idx="82">
                  <c:v>0.66132701472713662</c:v>
                </c:pt>
                <c:pt idx="83">
                  <c:v>0.65948614802790062</c:v>
                </c:pt>
                <c:pt idx="84">
                  <c:v>0.6576764295393257</c:v>
                </c:pt>
                <c:pt idx="85">
                  <c:v>0.6558969546804686</c:v>
                </c:pt>
                <c:pt idx="86">
                  <c:v>0.65414685565124331</c:v>
                </c:pt>
                <c:pt idx="87">
                  <c:v>0.6524252995230343</c:v>
                </c:pt>
                <c:pt idx="88">
                  <c:v>0.650731486449309</c:v>
                </c:pt>
                <c:pt idx="89">
                  <c:v>0.6490646479874207</c:v>
                </c:pt>
                <c:pt idx="90">
                  <c:v>0.64742404552351696</c:v>
                </c:pt>
                <c:pt idx="91">
                  <c:v>0.64580896879312633</c:v>
                </c:pt>
                <c:pt idx="92">
                  <c:v>0.64421873449065425</c:v>
                </c:pt>
                <c:pt idx="93">
                  <c:v>0.64265268496150951</c:v>
                </c:pt>
                <c:pt idx="94">
                  <c:v>0.64111018697112709</c:v>
                </c:pt>
                <c:pt idx="95">
                  <c:v>0.63959063054558574</c:v>
                </c:pt>
                <c:pt idx="96">
                  <c:v>0.63809342787895795</c:v>
                </c:pt>
                <c:pt idx="97">
                  <c:v>0.63661801230288584</c:v>
                </c:pt>
                <c:pt idx="98">
                  <c:v>0.63516383731423931</c:v>
                </c:pt>
                <c:pt idx="99">
                  <c:v>0.63373037565701107</c:v>
                </c:pt>
                <c:pt idx="100">
                  <c:v>0.63231711845491489</c:v>
                </c:pt>
                <c:pt idx="101">
                  <c:v>0.63092357439141644</c:v>
                </c:pt>
                <c:pt idx="102">
                  <c:v>0.62954926893412622</c:v>
                </c:pt>
                <c:pt idx="103">
                  <c:v>0.62819374360077507</c:v>
                </c:pt>
                <c:pt idx="104">
                  <c:v>0.62685655526414374</c:v>
                </c:pt>
                <c:pt idx="105">
                  <c:v>0.62553727549352733</c:v>
                </c:pt>
                <c:pt idx="106">
                  <c:v>0.62423548993047573</c:v>
                </c:pt>
                <c:pt idx="107">
                  <c:v>0.62295079769673756</c:v>
                </c:pt>
                <c:pt idx="108">
                  <c:v>0.62168281083243715</c:v>
                </c:pt>
                <c:pt idx="109">
                  <c:v>0.62043115376269253</c:v>
                </c:pt>
                <c:pt idx="110">
                  <c:v>0.61919546279097126</c:v>
                </c:pt>
                <c:pt idx="111">
                  <c:v>0.61797538561762944</c:v>
                </c:pt>
                <c:pt idx="112">
                  <c:v>0.61677058088214598</c:v>
                </c:pt>
                <c:pt idx="113">
                  <c:v>0.61558071772769829</c:v>
                </c:pt>
                <c:pt idx="114">
                  <c:v>0.61440547538680079</c:v>
                </c:pt>
                <c:pt idx="115">
                  <c:v>0.6132445427867933</c:v>
                </c:pt>
                <c:pt idx="116">
                  <c:v>0.61209761817408825</c:v>
                </c:pt>
                <c:pt idx="117">
                  <c:v>0.61096440875611524</c:v>
                </c:pt>
                <c:pt idx="118">
                  <c:v>0.60984463035997916</c:v>
                </c:pt>
                <c:pt idx="119">
                  <c:v>0.60873800710693482</c:v>
                </c:pt>
                <c:pt idx="120">
                  <c:v>0.60764427110180408</c:v>
                </c:pt>
                <c:pt idx="121">
                  <c:v>0.60656316213652772</c:v>
                </c:pt>
                <c:pt idx="122">
                  <c:v>0.60549442740711124</c:v>
                </c:pt>
                <c:pt idx="123">
                  <c:v>0.6044378212432413</c:v>
                </c:pt>
                <c:pt idx="124">
                  <c:v>0.60339310484990583</c:v>
                </c:pt>
                <c:pt idx="125">
                  <c:v>0.60236004606041216</c:v>
                </c:pt>
                <c:pt idx="126">
                  <c:v>0.60133841910017582</c:v>
                </c:pt>
                <c:pt idx="127">
                  <c:v>0.60032800436077238</c:v>
                </c:pt>
                <c:pt idx="128">
                  <c:v>0.59932858818368862</c:v>
                </c:pt>
                <c:pt idx="129">
                  <c:v>0.59833996265331268</c:v>
                </c:pt>
                <c:pt idx="130">
                  <c:v>0.59736192539868227</c:v>
                </c:pt>
                <c:pt idx="131">
                  <c:v>0.59639427940356282</c:v>
                </c:pt>
                <c:pt idx="132">
                  <c:v>0.5954368328244467</c:v>
                </c:pt>
                <c:pt idx="133">
                  <c:v>0.59448939881607521</c:v>
                </c:pt>
                <c:pt idx="134">
                  <c:v>0.59355179536413316</c:v>
                </c:pt>
                <c:pt idx="135">
                  <c:v>0.59262384512474953</c:v>
                </c:pt>
                <c:pt idx="136">
                  <c:v>0.59170537527050027</c:v>
                </c:pt>
                <c:pt idx="137">
                  <c:v>0.5907962173425898</c:v>
                </c:pt>
                <c:pt idx="138">
                  <c:v>0.58989620710891777</c:v>
                </c:pt>
                <c:pt idx="139">
                  <c:v>0.58900518442777483</c:v>
                </c:pt>
                <c:pt idx="140">
                  <c:v>0.58812299311687388</c:v>
                </c:pt>
                <c:pt idx="141">
                  <c:v>0.58724948082750283</c:v>
                </c:pt>
                <c:pt idx="142">
                  <c:v>0.58638449892354461</c:v>
                </c:pt>
                <c:pt idx="143">
                  <c:v>0.58552790236514296</c:v>
                </c:pt>
                <c:pt idx="144">
                  <c:v>0.58467954959681767</c:v>
                </c:pt>
                <c:pt idx="145">
                  <c:v>0.58383930243981175</c:v>
                </c:pt>
                <c:pt idx="146">
                  <c:v>0.58300702598849885</c:v>
                </c:pt>
                <c:pt idx="147">
                  <c:v>0.58218258851065652</c:v>
                </c:pt>
                <c:pt idx="148">
                  <c:v>0.58136586135144397</c:v>
                </c:pt>
                <c:pt idx="149">
                  <c:v>0.58055671884092397</c:v>
                </c:pt>
                <c:pt idx="150">
                  <c:v>0.57975503820496477</c:v>
                </c:pt>
                <c:pt idx="151">
                  <c:v>0.57896069947939077</c:v>
                </c:pt>
                <c:pt idx="152">
                  <c:v>0.57817358542722863</c:v>
                </c:pt>
                <c:pt idx="153">
                  <c:v>0.57739358145892827</c:v>
                </c:pt>
                <c:pt idx="154">
                  <c:v>0.57662057555542467</c:v>
                </c:pt>
                <c:pt idx="155">
                  <c:v>0.57585445819393488</c:v>
                </c:pt>
                <c:pt idx="156">
                  <c:v>0.57509512227635196</c:v>
                </c:pt>
                <c:pt idx="157">
                  <c:v>0.57434246306015568</c:v>
                </c:pt>
                <c:pt idx="158">
                  <c:v>0.57359637809171693</c:v>
                </c:pt>
                <c:pt idx="159">
                  <c:v>0.57285676714190659</c:v>
                </c:pt>
                <c:pt idx="160">
                  <c:v>0.57212353214391642</c:v>
                </c:pt>
                <c:pt idx="161">
                  <c:v>0.57139657713319425</c:v>
                </c:pt>
                <c:pt idx="162">
                  <c:v>0.57067580818941244</c:v>
                </c:pt>
                <c:pt idx="163">
                  <c:v>0.56996113338040444</c:v>
                </c:pt>
                <c:pt idx="164">
                  <c:v>0.56925246270795382</c:v>
                </c:pt>
                <c:pt idx="165">
                  <c:v>0.56854970805540772</c:v>
                </c:pt>
                <c:pt idx="166">
                  <c:v>0.56785278313701093</c:v>
                </c:pt>
                <c:pt idx="167">
                  <c:v>0.56716160344890099</c:v>
                </c:pt>
                <c:pt idx="168">
                  <c:v>0.56647608622171419</c:v>
                </c:pt>
                <c:pt idx="169">
                  <c:v>0.56579615037471886</c:v>
                </c:pt>
                <c:pt idx="170">
                  <c:v>0.56512171647143783</c:v>
                </c:pt>
                <c:pt idx="171">
                  <c:v>0.56445270667668501</c:v>
                </c:pt>
                <c:pt idx="172">
                  <c:v>0.56378904471498048</c:v>
                </c:pt>
                <c:pt idx="173">
                  <c:v>0.56313065583027389</c:v>
                </c:pt>
                <c:pt idx="174">
                  <c:v>0.56247746674694576</c:v>
                </c:pt>
                <c:pt idx="175">
                  <c:v>0.56182940563202932</c:v>
                </c:pt>
                <c:pt idx="176">
                  <c:v>0.56118640205859904</c:v>
                </c:pt>
                <c:pt idx="177">
                  <c:v>0.56054838697031051</c:v>
                </c:pt>
                <c:pt idx="178">
                  <c:v>0.55991529264701401</c:v>
                </c:pt>
                <c:pt idx="179">
                  <c:v>0.55928705267143253</c:v>
                </c:pt>
                <c:pt idx="180">
                  <c:v>0.5586636018968516</c:v>
                </c:pt>
                <c:pt idx="181">
                  <c:v>0.55804487641578759</c:v>
                </c:pt>
                <c:pt idx="182">
                  <c:v>0.55743081352959267</c:v>
                </c:pt>
                <c:pt idx="183">
                  <c:v>0.55682135171898528</c:v>
                </c:pt>
                <c:pt idx="184">
                  <c:v>0.55621643061543691</c:v>
                </c:pt>
                <c:pt idx="185">
                  <c:v>0.55561599097342762</c:v>
                </c:pt>
                <c:pt idx="186">
                  <c:v>0.55501997464350239</c:v>
                </c:pt>
                <c:pt idx="187">
                  <c:v>0.55442832454612589</c:v>
                </c:pt>
                <c:pt idx="188">
                  <c:v>0.55384098464629372</c:v>
                </c:pt>
                <c:pt idx="189">
                  <c:v>0.55325789992888419</c:v>
                </c:pt>
                <c:pt idx="190">
                  <c:v>0.55267901637471373</c:v>
                </c:pt>
                <c:pt idx="191">
                  <c:v>0.55210428093728914</c:v>
                </c:pt>
                <c:pt idx="192">
                  <c:v>0.55153364152020901</c:v>
                </c:pt>
                <c:pt idx="193">
                  <c:v>0.55096704695522059</c:v>
                </c:pt>
                <c:pt idx="194">
                  <c:v>0.55040444698088575</c:v>
                </c:pt>
                <c:pt idx="195">
                  <c:v>0.54984579222184848</c:v>
                </c:pt>
                <c:pt idx="196">
                  <c:v>0.54929103416868363</c:v>
                </c:pt>
                <c:pt idx="197">
                  <c:v>0.5487401251583045</c:v>
                </c:pt>
                <c:pt idx="198">
                  <c:v>0.54819301835491108</c:v>
                </c:pt>
              </c:numCache>
            </c:numRef>
          </c:yVal>
          <c:smooth val="0"/>
        </c:ser>
        <c:ser>
          <c:idx val="23"/>
          <c:order val="11"/>
          <c:tx>
            <c:strRef>
              <c:f>协调曲线图!$F$90</c:f>
              <c:strCache>
                <c:ptCount val="1"/>
                <c:pt idx="0">
                  <c:v>--------------------Lco-20Kv进线</c:v>
                </c:pt>
              </c:strCache>
            </c:strRef>
          </c:tx>
          <c:spPr>
            <a:ln w="25400">
              <a:solidFill>
                <a:srgbClr val="008000"/>
              </a:solidFill>
              <a:prstDash val="lg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0.267912881434895"/>
                  <c:y val="0.1832594770806544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8000"/>
                      </a:solidFill>
                      <a:latin typeface="Bookman Old Style"/>
                      <a:ea typeface="Bookman Old Style"/>
                      <a:cs typeface="Bookman Old Style"/>
                    </a:defRPr>
                  </a:pPr>
                  <a:endParaRPr lang="zh-CN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xVal>
            <c:numRef>
              <c:f>曲線Lever計算!$AD$9:$AD$207</c:f>
              <c:numCache>
                <c:formatCode>General</c:formatCode>
                <c:ptCount val="199"/>
                <c:pt idx="0">
                  <c:v>60</c:v>
                </c:pt>
                <c:pt idx="1">
                  <c:v>90</c:v>
                </c:pt>
                <c:pt idx="2">
                  <c:v>120</c:v>
                </c:pt>
                <c:pt idx="3">
                  <c:v>150</c:v>
                </c:pt>
                <c:pt idx="4">
                  <c:v>180</c:v>
                </c:pt>
                <c:pt idx="5">
                  <c:v>210</c:v>
                </c:pt>
                <c:pt idx="6">
                  <c:v>240</c:v>
                </c:pt>
                <c:pt idx="7">
                  <c:v>270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300</c:v>
                </c:pt>
                <c:pt idx="14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18">
                  <c:v>300</c:v>
                </c:pt>
                <c:pt idx="19">
                  <c:v>300</c:v>
                </c:pt>
                <c:pt idx="20">
                  <c:v>300</c:v>
                </c:pt>
                <c:pt idx="21">
                  <c:v>300</c:v>
                </c:pt>
                <c:pt idx="22">
                  <c:v>300</c:v>
                </c:pt>
                <c:pt idx="23">
                  <c:v>300</c:v>
                </c:pt>
                <c:pt idx="24">
                  <c:v>300</c:v>
                </c:pt>
                <c:pt idx="25">
                  <c:v>300</c:v>
                </c:pt>
                <c:pt idx="26">
                  <c:v>300</c:v>
                </c:pt>
                <c:pt idx="27">
                  <c:v>300</c:v>
                </c:pt>
                <c:pt idx="28">
                  <c:v>300</c:v>
                </c:pt>
                <c:pt idx="29">
                  <c:v>300</c:v>
                </c:pt>
                <c:pt idx="30">
                  <c:v>300</c:v>
                </c:pt>
                <c:pt idx="31">
                  <c:v>300</c:v>
                </c:pt>
                <c:pt idx="32">
                  <c:v>300</c:v>
                </c:pt>
                <c:pt idx="33">
                  <c:v>300</c:v>
                </c:pt>
                <c:pt idx="34">
                  <c:v>300</c:v>
                </c:pt>
                <c:pt idx="35">
                  <c:v>300</c:v>
                </c:pt>
                <c:pt idx="36">
                  <c:v>300</c:v>
                </c:pt>
                <c:pt idx="37">
                  <c:v>300</c:v>
                </c:pt>
                <c:pt idx="38">
                  <c:v>300</c:v>
                </c:pt>
                <c:pt idx="39">
                  <c:v>300</c:v>
                </c:pt>
                <c:pt idx="40">
                  <c:v>300</c:v>
                </c:pt>
                <c:pt idx="41">
                  <c:v>300</c:v>
                </c:pt>
                <c:pt idx="42">
                  <c:v>300</c:v>
                </c:pt>
                <c:pt idx="43">
                  <c:v>300</c:v>
                </c:pt>
                <c:pt idx="44">
                  <c:v>300</c:v>
                </c:pt>
                <c:pt idx="45">
                  <c:v>300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5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300</c:v>
                </c:pt>
                <c:pt idx="71">
                  <c:v>300</c:v>
                </c:pt>
                <c:pt idx="72">
                  <c:v>300</c:v>
                </c:pt>
                <c:pt idx="73">
                  <c:v>300</c:v>
                </c:pt>
                <c:pt idx="74">
                  <c:v>300</c:v>
                </c:pt>
                <c:pt idx="75">
                  <c:v>300</c:v>
                </c:pt>
                <c:pt idx="76">
                  <c:v>300</c:v>
                </c:pt>
                <c:pt idx="77">
                  <c:v>300</c:v>
                </c:pt>
                <c:pt idx="78">
                  <c:v>300</c:v>
                </c:pt>
                <c:pt idx="79">
                  <c:v>300</c:v>
                </c:pt>
                <c:pt idx="80">
                  <c:v>300</c:v>
                </c:pt>
                <c:pt idx="81">
                  <c:v>300</c:v>
                </c:pt>
                <c:pt idx="82">
                  <c:v>300</c:v>
                </c:pt>
                <c:pt idx="83">
                  <c:v>300</c:v>
                </c:pt>
                <c:pt idx="84">
                  <c:v>300</c:v>
                </c:pt>
                <c:pt idx="85">
                  <c:v>300</c:v>
                </c:pt>
                <c:pt idx="86">
                  <c:v>300</c:v>
                </c:pt>
                <c:pt idx="87">
                  <c:v>300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5">
                  <c:v>300</c:v>
                </c:pt>
                <c:pt idx="96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300</c:v>
                </c:pt>
                <c:pt idx="102">
                  <c:v>300</c:v>
                </c:pt>
                <c:pt idx="103">
                  <c:v>300</c:v>
                </c:pt>
                <c:pt idx="104">
                  <c:v>300</c:v>
                </c:pt>
                <c:pt idx="105">
                  <c:v>300</c:v>
                </c:pt>
                <c:pt idx="106">
                  <c:v>300</c:v>
                </c:pt>
                <c:pt idx="107">
                  <c:v>300</c:v>
                </c:pt>
                <c:pt idx="108">
                  <c:v>300</c:v>
                </c:pt>
                <c:pt idx="109">
                  <c:v>300</c:v>
                </c:pt>
                <c:pt idx="110">
                  <c:v>300</c:v>
                </c:pt>
                <c:pt idx="111">
                  <c:v>300</c:v>
                </c:pt>
                <c:pt idx="112">
                  <c:v>300</c:v>
                </c:pt>
                <c:pt idx="113">
                  <c:v>300</c:v>
                </c:pt>
                <c:pt idx="114">
                  <c:v>300</c:v>
                </c:pt>
                <c:pt idx="115">
                  <c:v>300</c:v>
                </c:pt>
                <c:pt idx="116">
                  <c:v>300</c:v>
                </c:pt>
                <c:pt idx="117">
                  <c:v>300</c:v>
                </c:pt>
                <c:pt idx="118">
                  <c:v>300</c:v>
                </c:pt>
                <c:pt idx="119">
                  <c:v>300</c:v>
                </c:pt>
                <c:pt idx="120">
                  <c:v>300</c:v>
                </c:pt>
                <c:pt idx="121">
                  <c:v>300</c:v>
                </c:pt>
                <c:pt idx="122">
                  <c:v>300</c:v>
                </c:pt>
                <c:pt idx="123">
                  <c:v>300</c:v>
                </c:pt>
                <c:pt idx="124">
                  <c:v>300</c:v>
                </c:pt>
                <c:pt idx="125">
                  <c:v>300</c:v>
                </c:pt>
                <c:pt idx="126">
                  <c:v>300</c:v>
                </c:pt>
                <c:pt idx="127">
                  <c:v>300</c:v>
                </c:pt>
                <c:pt idx="128">
                  <c:v>300</c:v>
                </c:pt>
                <c:pt idx="129">
                  <c:v>300</c:v>
                </c:pt>
                <c:pt idx="130">
                  <c:v>300</c:v>
                </c:pt>
                <c:pt idx="131">
                  <c:v>300</c:v>
                </c:pt>
                <c:pt idx="132">
                  <c:v>300</c:v>
                </c:pt>
                <c:pt idx="133">
                  <c:v>300</c:v>
                </c:pt>
                <c:pt idx="134">
                  <c:v>300</c:v>
                </c:pt>
                <c:pt idx="135">
                  <c:v>300</c:v>
                </c:pt>
                <c:pt idx="136">
                  <c:v>300</c:v>
                </c:pt>
                <c:pt idx="137">
                  <c:v>300</c:v>
                </c:pt>
                <c:pt idx="138">
                  <c:v>300</c:v>
                </c:pt>
                <c:pt idx="139">
                  <c:v>300</c:v>
                </c:pt>
                <c:pt idx="140">
                  <c:v>300</c:v>
                </c:pt>
                <c:pt idx="141">
                  <c:v>300</c:v>
                </c:pt>
                <c:pt idx="142">
                  <c:v>300</c:v>
                </c:pt>
                <c:pt idx="143">
                  <c:v>300</c:v>
                </c:pt>
                <c:pt idx="144">
                  <c:v>300</c:v>
                </c:pt>
                <c:pt idx="145">
                  <c:v>300</c:v>
                </c:pt>
                <c:pt idx="146">
                  <c:v>300</c:v>
                </c:pt>
                <c:pt idx="147">
                  <c:v>300</c:v>
                </c:pt>
                <c:pt idx="148">
                  <c:v>300</c:v>
                </c:pt>
                <c:pt idx="149">
                  <c:v>300</c:v>
                </c:pt>
                <c:pt idx="150">
                  <c:v>300</c:v>
                </c:pt>
                <c:pt idx="151">
                  <c:v>300</c:v>
                </c:pt>
                <c:pt idx="152">
                  <c:v>300</c:v>
                </c:pt>
                <c:pt idx="153">
                  <c:v>300</c:v>
                </c:pt>
                <c:pt idx="154">
                  <c:v>300</c:v>
                </c:pt>
                <c:pt idx="155">
                  <c:v>300</c:v>
                </c:pt>
                <c:pt idx="156">
                  <c:v>300</c:v>
                </c:pt>
                <c:pt idx="157">
                  <c:v>300</c:v>
                </c:pt>
                <c:pt idx="158">
                  <c:v>300</c:v>
                </c:pt>
                <c:pt idx="159">
                  <c:v>300</c:v>
                </c:pt>
                <c:pt idx="160">
                  <c:v>300</c:v>
                </c:pt>
                <c:pt idx="161">
                  <c:v>300</c:v>
                </c:pt>
                <c:pt idx="162">
                  <c:v>300</c:v>
                </c:pt>
                <c:pt idx="163">
                  <c:v>300</c:v>
                </c:pt>
                <c:pt idx="164">
                  <c:v>300</c:v>
                </c:pt>
                <c:pt idx="165">
                  <c:v>300</c:v>
                </c:pt>
                <c:pt idx="166">
                  <c:v>300</c:v>
                </c:pt>
                <c:pt idx="167">
                  <c:v>300</c:v>
                </c:pt>
                <c:pt idx="168">
                  <c:v>300</c:v>
                </c:pt>
                <c:pt idx="169">
                  <c:v>300</c:v>
                </c:pt>
                <c:pt idx="170">
                  <c:v>300</c:v>
                </c:pt>
                <c:pt idx="171">
                  <c:v>300</c:v>
                </c:pt>
                <c:pt idx="172">
                  <c:v>300</c:v>
                </c:pt>
                <c:pt idx="173">
                  <c:v>300</c:v>
                </c:pt>
                <c:pt idx="174">
                  <c:v>300</c:v>
                </c:pt>
                <c:pt idx="175">
                  <c:v>300</c:v>
                </c:pt>
                <c:pt idx="176">
                  <c:v>300</c:v>
                </c:pt>
                <c:pt idx="177">
                  <c:v>300</c:v>
                </c:pt>
                <c:pt idx="178">
                  <c:v>300</c:v>
                </c:pt>
                <c:pt idx="179">
                  <c:v>300</c:v>
                </c:pt>
                <c:pt idx="180">
                  <c:v>300</c:v>
                </c:pt>
                <c:pt idx="181">
                  <c:v>300</c:v>
                </c:pt>
                <c:pt idx="182">
                  <c:v>300</c:v>
                </c:pt>
                <c:pt idx="183">
                  <c:v>300</c:v>
                </c:pt>
                <c:pt idx="184">
                  <c:v>300</c:v>
                </c:pt>
                <c:pt idx="185">
                  <c:v>300</c:v>
                </c:pt>
                <c:pt idx="186">
                  <c:v>300</c:v>
                </c:pt>
                <c:pt idx="187">
                  <c:v>300</c:v>
                </c:pt>
                <c:pt idx="188">
                  <c:v>300</c:v>
                </c:pt>
                <c:pt idx="189">
                  <c:v>300</c:v>
                </c:pt>
                <c:pt idx="190">
                  <c:v>300</c:v>
                </c:pt>
                <c:pt idx="191">
                  <c:v>300</c:v>
                </c:pt>
                <c:pt idx="192">
                  <c:v>300</c:v>
                </c:pt>
                <c:pt idx="193">
                  <c:v>300</c:v>
                </c:pt>
                <c:pt idx="194">
                  <c:v>300</c:v>
                </c:pt>
                <c:pt idx="195">
                  <c:v>300</c:v>
                </c:pt>
                <c:pt idx="196">
                  <c:v>300</c:v>
                </c:pt>
                <c:pt idx="197">
                  <c:v>300</c:v>
                </c:pt>
                <c:pt idx="198">
                  <c:v>6000</c:v>
                </c:pt>
              </c:numCache>
            </c:numRef>
          </c:xVal>
          <c:yVal>
            <c:numRef>
              <c:f>曲線Lever計算!$AB$9:$AB$207</c:f>
              <c:numCache>
                <c:formatCode>General</c:formatCode>
                <c:ptCount val="199"/>
                <c:pt idx="0">
                  <c:v>5.4028428390824894</c:v>
                </c:pt>
                <c:pt idx="1">
                  <c:v>3.3949796240768233</c:v>
                </c:pt>
                <c:pt idx="2">
                  <c:v>2.6826968930108537</c:v>
                </c:pt>
                <c:pt idx="3">
                  <c:v>2.3055731021927941</c:v>
                </c:pt>
                <c:pt idx="4">
                  <c:v>2.0671743860581859</c:v>
                </c:pt>
                <c:pt idx="5">
                  <c:v>1.9004673028031178</c:v>
                </c:pt>
                <c:pt idx="6">
                  <c:v>1.7760396594105565</c:v>
                </c:pt>
                <c:pt idx="7">
                  <c:v>1.6788417306011887</c:v>
                </c:pt>
                <c:pt idx="8">
                  <c:v>1.6003224911452743</c:v>
                </c:pt>
                <c:pt idx="9">
                  <c:v>1.5352383716742966</c:v>
                </c:pt>
                <c:pt idx="10">
                  <c:v>1.4801815587113505</c:v>
                </c:pt>
                <c:pt idx="11">
                  <c:v>1.4328334969397774</c:v>
                </c:pt>
                <c:pt idx="12">
                  <c:v>1.3915571842607197</c:v>
                </c:pt>
                <c:pt idx="13">
                  <c:v>1.3551609206581654</c:v>
                </c:pt>
                <c:pt idx="14">
                  <c:v>1.322754599742592</c:v>
                </c:pt>
                <c:pt idx="15">
                  <c:v>1.2936586746356633</c:v>
                </c:pt>
                <c:pt idx="16">
                  <c:v>1.2673444721057843</c:v>
                </c:pt>
                <c:pt idx="17">
                  <c:v>1.2433938851563378</c:v>
                </c:pt>
                <c:pt idx="18">
                  <c:v>1.2214714436347822</c:v>
                </c:pt>
                <c:pt idx="19">
                  <c:v>1.2013045203750576</c:v>
                </c:pt>
                <c:pt idx="20">
                  <c:v>1.1826690205214845</c:v>
                </c:pt>
                <c:pt idx="21">
                  <c:v>1.1653788496681483</c:v>
                </c:pt>
                <c:pt idx="22">
                  <c:v>1.1492780385597525</c:v>
                </c:pt>
                <c:pt idx="23">
                  <c:v>1.1342347690827055</c:v>
                </c:pt>
                <c:pt idx="24">
                  <c:v>1.1201367831609588</c:v>
                </c:pt>
                <c:pt idx="25">
                  <c:v>1.1068878123706849</c:v>
                </c:pt>
                <c:pt idx="26">
                  <c:v>1.0944047710922722</c:v>
                </c:pt>
                <c:pt idx="27">
                  <c:v>1.0826155278589313</c:v>
                </c:pt>
                <c:pt idx="28">
                  <c:v>1.0714571195105191</c:v>
                </c:pt>
                <c:pt idx="29">
                  <c:v>1.0608743080061498</c:v>
                </c:pt>
                <c:pt idx="30">
                  <c:v>1.0508184049604399</c:v>
                </c:pt>
                <c:pt idx="31">
                  <c:v>1.0412463072300679</c:v>
                </c:pt>
                <c:pt idx="32">
                  <c:v>1.0321197002614879</c:v>
                </c:pt>
                <c:pt idx="33">
                  <c:v>1.0234043958265606</c:v>
                </c:pt>
                <c:pt idx="34">
                  <c:v>1.0150697781943769</c:v>
                </c:pt>
                <c:pt idx="35">
                  <c:v>1.0070883383950024</c:v>
                </c:pt>
                <c:pt idx="36">
                  <c:v>0.99943528050521113</c:v>
                </c:pt>
                <c:pt idx="37">
                  <c:v>0.99208818717190095</c:v>
                </c:pt>
                <c:pt idx="38">
                  <c:v>0.9850267341343556</c:v>
                </c:pt>
                <c:pt idx="39">
                  <c:v>0.97823244549294697</c:v>
                </c:pt>
                <c:pt idx="40">
                  <c:v>0.97168848303320521</c:v>
                </c:pt>
                <c:pt idx="41">
                  <c:v>0.96537946414921982</c:v>
                </c:pt>
                <c:pt idx="42">
                  <c:v>0.95929130389354833</c:v>
                </c:pt>
                <c:pt idx="43">
                  <c:v>0.95341107746817555</c:v>
                </c:pt>
                <c:pt idx="44">
                  <c:v>0.94772690010497573</c:v>
                </c:pt>
                <c:pt idx="45">
                  <c:v>0.94222782179752052</c:v>
                </c:pt>
                <c:pt idx="46">
                  <c:v>0.93690373476371791</c:v>
                </c:pt>
                <c:pt idx="47">
                  <c:v>0.93174529186026833</c:v>
                </c:pt>
                <c:pt idx="48">
                  <c:v>0.9267438344505311</c:v>
                </c:pt>
                <c:pt idx="49">
                  <c:v>0.92189132845883792</c:v>
                </c:pt>
                <c:pt idx="50">
                  <c:v>0.91718030753609303</c:v>
                </c:pt>
                <c:pt idx="51">
                  <c:v>0.91260382242112925</c:v>
                </c:pt>
                <c:pt idx="52">
                  <c:v>0.90815539571546988</c:v>
                </c:pt>
                <c:pt idx="53">
                  <c:v>0.90382898140098133</c:v>
                </c:pt>
                <c:pt idx="54">
                  <c:v>0.89961892852378289</c:v>
                </c:pt>
                <c:pt idx="55">
                  <c:v>0.89551994854720551</c:v>
                </c:pt>
                <c:pt idx="56">
                  <c:v>0.89152708594375563</c:v>
                </c:pt>
                <c:pt idx="57">
                  <c:v>0.88763569165312906</c:v>
                </c:pt>
                <c:pt idx="58">
                  <c:v>0.88384139908200066</c:v>
                </c:pt>
                <c:pt idx="59">
                  <c:v>0.88014010236291251</c:v>
                </c:pt>
                <c:pt idx="60">
                  <c:v>0.87652793662519324</c:v>
                </c:pt>
                <c:pt idx="61">
                  <c:v>0.87300126006153267</c:v>
                </c:pt>
                <c:pt idx="62">
                  <c:v>0.86955663760020974</c:v>
                </c:pt>
                <c:pt idx="63">
                  <c:v>0.86619082601579744</c:v>
                </c:pt>
                <c:pt idx="64">
                  <c:v>0.86290076033095386</c:v>
                </c:pt>
                <c:pt idx="65">
                  <c:v>0.85968354137899894</c:v>
                </c:pt>
                <c:pt idx="66">
                  <c:v>0.85653642441198119</c:v>
                </c:pt>
                <c:pt idx="67">
                  <c:v>0.85345680865189733</c:v>
                </c:pt>
                <c:pt idx="68">
                  <c:v>0.85044222769416178</c:v>
                </c:pt>
                <c:pt idx="69">
                  <c:v>0.84749034068232587</c:v>
                </c:pt>
                <c:pt idx="70">
                  <c:v>0.84459892418185789</c:v>
                </c:pt>
                <c:pt idx="71">
                  <c:v>0.84176586468841841</c:v>
                </c:pt>
                <c:pt idx="72">
                  <c:v>0.83898915171293131</c:v>
                </c:pt>
                <c:pt idx="73">
                  <c:v>0.83626687139162525</c:v>
                </c:pt>
                <c:pt idx="74">
                  <c:v>0.83359720057458875</c:v>
                </c:pt>
                <c:pt idx="75">
                  <c:v>0.83097840135104717</c:v>
                </c:pt>
                <c:pt idx="76">
                  <c:v>0.8284088159737073</c:v>
                </c:pt>
                <c:pt idx="77">
                  <c:v>0.82588686214822193</c:v>
                </c:pt>
                <c:pt idx="78">
                  <c:v>0.82341102865713334</c:v>
                </c:pt>
                <c:pt idx="79">
                  <c:v>0.82097987129055094</c:v>
                </c:pt>
                <c:pt idx="80">
                  <c:v>0.81859200905847518</c:v>
                </c:pt>
                <c:pt idx="81">
                  <c:v>0.81624612066198354</c:v>
                </c:pt>
                <c:pt idx="82">
                  <c:v>0.81394094120262961</c:v>
                </c:pt>
                <c:pt idx="83">
                  <c:v>0.81167525911126226</c:v>
                </c:pt>
                <c:pt idx="84">
                  <c:v>0.80944791327917009</c:v>
                </c:pt>
                <c:pt idx="85">
                  <c:v>0.80725779037596124</c:v>
                </c:pt>
                <c:pt idx="86">
                  <c:v>0.80510382233999167</c:v>
                </c:pt>
                <c:pt idx="87">
                  <c:v>0.80298498402834984</c:v>
                </c:pt>
                <c:pt idx="88">
                  <c:v>0.80090029101453408</c:v>
                </c:pt>
                <c:pt idx="89">
                  <c:v>0.79884879752297933</c:v>
                </c:pt>
                <c:pt idx="90">
                  <c:v>0.79682959449048241</c:v>
                </c:pt>
                <c:pt idx="91">
                  <c:v>0.79484180774538626</c:v>
                </c:pt>
                <c:pt idx="92">
                  <c:v>0.79288459629618979</c:v>
                </c:pt>
                <c:pt idx="93">
                  <c:v>0.7909571507218579</c:v>
                </c:pt>
                <c:pt idx="94">
                  <c:v>0.78905869165677178</c:v>
                </c:pt>
                <c:pt idx="95">
                  <c:v>0.78718846836379786</c:v>
                </c:pt>
                <c:pt idx="96">
                  <c:v>0.78534575738948664</c:v>
                </c:pt>
                <c:pt idx="97">
                  <c:v>0.78352986129585955</c:v>
                </c:pt>
                <c:pt idx="98">
                  <c:v>0.78174010746367917</c:v>
                </c:pt>
                <c:pt idx="99">
                  <c:v>0.77997584696247513</c:v>
                </c:pt>
                <c:pt idx="100">
                  <c:v>0.7782364534829721</c:v>
                </c:pt>
                <c:pt idx="101">
                  <c:v>0.77652132232789717</c:v>
                </c:pt>
                <c:pt idx="102">
                  <c:v>0.77482986945738608</c:v>
                </c:pt>
                <c:pt idx="103">
                  <c:v>0.77316153058556936</c:v>
                </c:pt>
                <c:pt idx="104">
                  <c:v>0.77151576032510005</c:v>
                </c:pt>
                <c:pt idx="105">
                  <c:v>0.76989203137664897</c:v>
                </c:pt>
                <c:pt idx="106">
                  <c:v>0.76828983376058546</c:v>
                </c:pt>
                <c:pt idx="107">
                  <c:v>0.76670867408829235</c:v>
                </c:pt>
                <c:pt idx="108">
                  <c:v>0.76514807487069192</c:v>
                </c:pt>
                <c:pt idx="109">
                  <c:v>0.76360757386177547</c:v>
                </c:pt>
                <c:pt idx="110">
                  <c:v>0.76208672343504147</c:v>
                </c:pt>
                <c:pt idx="111">
                  <c:v>0.76058508999092855</c:v>
                </c:pt>
                <c:pt idx="112">
                  <c:v>0.75910225339341042</c:v>
                </c:pt>
                <c:pt idx="113">
                  <c:v>0.75763780643409018</c:v>
                </c:pt>
                <c:pt idx="114">
                  <c:v>0.75619135432221629</c:v>
                </c:pt>
                <c:pt idx="115">
                  <c:v>0.7547625141991301</c:v>
                </c:pt>
                <c:pt idx="116">
                  <c:v>0.75335091467580095</c:v>
                </c:pt>
                <c:pt idx="117">
                  <c:v>0.75195619539214176</c:v>
                </c:pt>
                <c:pt idx="118">
                  <c:v>0.75057800659689744</c:v>
                </c:pt>
                <c:pt idx="119">
                  <c:v>0.74921600874699668</c:v>
                </c:pt>
                <c:pt idx="120">
                  <c:v>0.74786987212529732</c:v>
                </c:pt>
                <c:pt idx="121">
                  <c:v>0.74653927647572649</c:v>
                </c:pt>
                <c:pt idx="122">
                  <c:v>0.74522391065490612</c:v>
                </c:pt>
                <c:pt idx="123">
                  <c:v>0.74392347229937383</c:v>
                </c:pt>
                <c:pt idx="124">
                  <c:v>0.74263766750757632</c:v>
                </c:pt>
                <c:pt idx="125">
                  <c:v>0.74136621053589191</c:v>
                </c:pt>
                <c:pt idx="126">
                  <c:v>0.74010882350790874</c:v>
                </c:pt>
                <c:pt idx="127">
                  <c:v>0.73886523613633526</c:v>
                </c:pt>
                <c:pt idx="128">
                  <c:v>0.73763518545684748</c:v>
                </c:pt>
                <c:pt idx="129">
                  <c:v>0.73641841557330789</c:v>
                </c:pt>
                <c:pt idx="130">
                  <c:v>0.73521467741376278</c:v>
                </c:pt>
                <c:pt idx="131">
                  <c:v>0.73402372849669262</c:v>
                </c:pt>
                <c:pt idx="132">
                  <c:v>0.73284533270701124</c:v>
                </c:pt>
                <c:pt idx="133">
                  <c:v>0.73167926008132333</c:v>
                </c:pt>
                <c:pt idx="134">
                  <c:v>0.73052528660200999</c:v>
                </c:pt>
                <c:pt idx="135">
                  <c:v>0.72938319399969165</c:v>
                </c:pt>
                <c:pt idx="136">
                  <c:v>0.72825276956369256</c:v>
                </c:pt>
                <c:pt idx="137">
                  <c:v>0.72713380596011046</c:v>
                </c:pt>
                <c:pt idx="138">
                  <c:v>0.72602610105712961</c:v>
                </c:pt>
                <c:pt idx="139">
                  <c:v>0.72492945775726125</c:v>
                </c:pt>
                <c:pt idx="140">
                  <c:v>0.7238436838361525</c:v>
                </c:pt>
                <c:pt idx="141">
                  <c:v>0.72276859178769581</c:v>
                </c:pt>
                <c:pt idx="142">
                  <c:v>0.7217039986751318</c:v>
                </c:pt>
                <c:pt idx="143">
                  <c:v>0.72064972598786814</c:v>
                </c:pt>
                <c:pt idx="144">
                  <c:v>0.71960559950377567</c:v>
                </c:pt>
                <c:pt idx="145">
                  <c:v>0.71857144915669136</c:v>
                </c:pt>
                <c:pt idx="146">
                  <c:v>0.7175471089089217</c:v>
                </c:pt>
                <c:pt idx="147">
                  <c:v>0.71653241662850031</c:v>
                </c:pt>
                <c:pt idx="148">
                  <c:v>0.71552721397100794</c:v>
                </c:pt>
                <c:pt idx="149">
                  <c:v>0.71453134626575254</c:v>
                </c:pt>
                <c:pt idx="150">
                  <c:v>0.71354466240611047</c:v>
                </c:pt>
                <c:pt idx="151">
                  <c:v>0.71256701474386552</c:v>
                </c:pt>
                <c:pt idx="152">
                  <c:v>0.71159825898735829</c:v>
                </c:pt>
                <c:pt idx="153">
                  <c:v>0.71063825410329629</c:v>
                </c:pt>
                <c:pt idx="154">
                  <c:v>0.70968686222206112</c:v>
                </c:pt>
                <c:pt idx="155">
                  <c:v>0.70874394854638134</c:v>
                </c:pt>
                <c:pt idx="156">
                  <c:v>0.70780938126320236</c:v>
                </c:pt>
                <c:pt idx="157">
                  <c:v>0.70688303145865305</c:v>
                </c:pt>
                <c:pt idx="158">
                  <c:v>0.70596477303595928</c:v>
                </c:pt>
                <c:pt idx="159">
                  <c:v>0.70505448263619275</c:v>
                </c:pt>
                <c:pt idx="160">
                  <c:v>0.70415203956174333</c:v>
                </c:pt>
                <c:pt idx="161">
                  <c:v>0.70325732570239285</c:v>
                </c:pt>
                <c:pt idx="162">
                  <c:v>0.70237022546389227</c:v>
                </c:pt>
                <c:pt idx="163">
                  <c:v>0.70149062569895926</c:v>
                </c:pt>
                <c:pt idx="164">
                  <c:v>0.7006184156405586</c:v>
                </c:pt>
                <c:pt idx="165">
                  <c:v>0.69975348683742478</c:v>
                </c:pt>
                <c:pt idx="166">
                  <c:v>0.69889573309170572</c:v>
                </c:pt>
                <c:pt idx="167">
                  <c:v>0.69804505039864728</c:v>
                </c:pt>
                <c:pt idx="168">
                  <c:v>0.69720133688826358</c:v>
                </c:pt>
                <c:pt idx="169">
                  <c:v>0.69636449276888479</c:v>
                </c:pt>
                <c:pt idx="170">
                  <c:v>0.69553442027253887</c:v>
                </c:pt>
                <c:pt idx="171">
                  <c:v>0.69471102360207382</c:v>
                </c:pt>
                <c:pt idx="172">
                  <c:v>0.69389420887997599</c:v>
                </c:pt>
                <c:pt idx="173">
                  <c:v>0.69308388409879862</c:v>
                </c:pt>
                <c:pt idx="174">
                  <c:v>0.69227995907316398</c:v>
                </c:pt>
                <c:pt idx="175">
                  <c:v>0.69148234539326681</c:v>
                </c:pt>
                <c:pt idx="176">
                  <c:v>0.69069095637981415</c:v>
                </c:pt>
                <c:pt idx="177">
                  <c:v>0.68990570704038212</c:v>
                </c:pt>
                <c:pt idx="178">
                  <c:v>0.68912651402709413</c:v>
                </c:pt>
                <c:pt idx="179">
                  <c:v>0.6883532955956092</c:v>
                </c:pt>
                <c:pt idx="180">
                  <c:v>0.68758597156535572</c:v>
                </c:pt>
                <c:pt idx="181">
                  <c:v>0.68682446328096936</c:v>
                </c:pt>
                <c:pt idx="182">
                  <c:v>0.68606869357488331</c:v>
                </c:pt>
                <c:pt idx="183">
                  <c:v>0.68531858673105872</c:v>
                </c:pt>
                <c:pt idx="184">
                  <c:v>0.68457406844976842</c:v>
                </c:pt>
                <c:pt idx="185">
                  <c:v>0.68383506581344933</c:v>
                </c:pt>
                <c:pt idx="186">
                  <c:v>0.68310150725354135</c:v>
                </c:pt>
                <c:pt idx="187">
                  <c:v>0.68237332251830884</c:v>
                </c:pt>
                <c:pt idx="188">
                  <c:v>0.68165044264159225</c:v>
                </c:pt>
                <c:pt idx="189">
                  <c:v>0.68093279991247291</c:v>
                </c:pt>
                <c:pt idx="190">
                  <c:v>0.68022032784580144</c:v>
                </c:pt>
                <c:pt idx="191">
                  <c:v>0.67951296115358661</c:v>
                </c:pt>
                <c:pt idx="192">
                  <c:v>0.67881063571718026</c:v>
                </c:pt>
                <c:pt idx="193">
                  <c:v>0.67811328856027142</c:v>
                </c:pt>
                <c:pt idx="194">
                  <c:v>0.67742085782262862</c:v>
                </c:pt>
                <c:pt idx="195">
                  <c:v>0.67673328273458278</c:v>
                </c:pt>
                <c:pt idx="196">
                  <c:v>0.67605050359222596</c:v>
                </c:pt>
                <c:pt idx="197">
                  <c:v>0.67537246173329779</c:v>
                </c:pt>
                <c:pt idx="198">
                  <c:v>0.67469909951373663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8947072"/>
        <c:axId val="378948992"/>
      </c:scatterChart>
      <c:valAx>
        <c:axId val="378947072"/>
        <c:scaling>
          <c:logBase val="10"/>
          <c:orientation val="minMax"/>
          <c:max val="100000"/>
          <c:min val="1"/>
        </c:scaling>
        <c:delete val="0"/>
        <c:axPos val="b"/>
        <c:majorGridlines>
          <c:spPr>
            <a:ln w="3175">
              <a:solidFill>
                <a:srgbClr val="333333"/>
              </a:solidFill>
              <a:prstDash val="solid"/>
            </a:ln>
          </c:spPr>
        </c:majorGridlines>
        <c:minorGridlines>
          <c:spPr>
            <a:ln w="3175">
              <a:solidFill>
                <a:srgbClr val="333333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  <a:cs typeface="等线"/>
                  </a:defRPr>
                </a:pP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电流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 (A)</a:t>
                </a:r>
                <a:endParaRPr lang="zh-CN" altLang="en-US" sz="1125" b="0" i="0" u="none" strike="noStrike" baseline="0">
                  <a:solidFill>
                    <a:srgbClr val="000000"/>
                  </a:solidFill>
                  <a:latin typeface="BatangChe"/>
                </a:endParaRPr>
              </a:p>
            </c:rich>
          </c:tx>
          <c:layout>
            <c:manualLayout>
              <c:xMode val="edge"/>
              <c:yMode val="edge"/>
              <c:x val="0.48780486509982834"/>
              <c:y val="0.955903030584988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in"/>
        <c:tickLblPos val="low"/>
        <c:spPr>
          <a:ln w="3175">
            <a:solidFill>
              <a:srgbClr val="333333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BatangChe"/>
                <a:ea typeface="BatangChe"/>
                <a:cs typeface="BatangChe"/>
              </a:defRPr>
            </a:pPr>
            <a:endParaRPr lang="zh-CN"/>
          </a:p>
        </c:txPr>
        <c:crossAx val="378948992"/>
        <c:crossesAt val="1"/>
        <c:crossBetween val="midCat"/>
      </c:valAx>
      <c:valAx>
        <c:axId val="378948992"/>
        <c:scaling>
          <c:logBase val="10"/>
          <c:orientation val="minMax"/>
          <c:max val="100"/>
          <c:min val="1.0000000000000005E-2"/>
        </c:scaling>
        <c:delete val="0"/>
        <c:axPos val="l"/>
        <c:majorGridlines>
          <c:spPr>
            <a:ln w="3175">
              <a:solidFill>
                <a:srgbClr val="333333"/>
              </a:solidFill>
              <a:prstDash val="solid"/>
            </a:ln>
          </c:spPr>
        </c:majorGridlines>
        <c:minorGridlines>
          <c:spPr>
            <a:ln w="3175">
              <a:solidFill>
                <a:srgbClr val="333333"/>
              </a:solidFill>
              <a:prstDash val="solid"/>
            </a:ln>
          </c:spPr>
        </c:minorGridlines>
        <c:title>
          <c:tx>
            <c:rich>
              <a:bodyPr rot="540000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  <a:cs typeface="等线"/>
                  </a:defRPr>
                </a:pP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时间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(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等线"/>
                    <a:ea typeface="等线"/>
                  </a:rPr>
                  <a:t>秒</a:t>
                </a:r>
                <a:r>
                  <a:rPr lang="zh-CN" altLang="en-US" sz="1125" b="0" i="0" u="none" strike="noStrike" baseline="0">
                    <a:solidFill>
                      <a:srgbClr val="000000"/>
                    </a:solidFill>
                    <a:latin typeface="BatangChe"/>
                    <a:ea typeface="等线"/>
                  </a:rPr>
                  <a:t>)</a:t>
                </a:r>
                <a:endParaRPr lang="zh-CN" altLang="en-US" sz="1125" b="0" i="0" u="none" strike="noStrike" baseline="0">
                  <a:solidFill>
                    <a:srgbClr val="000000"/>
                  </a:solidFill>
                  <a:latin typeface="BatangChe"/>
                </a:endParaRPr>
              </a:p>
            </c:rich>
          </c:tx>
          <c:layout>
            <c:manualLayout>
              <c:xMode val="edge"/>
              <c:yMode val="edge"/>
              <c:x val="4.3552962959276173E-3"/>
              <c:y val="0.46608807577044103"/>
            </c:manualLayout>
          </c:layout>
          <c:overlay val="0"/>
          <c:spPr>
            <a:noFill/>
            <a:ln w="25400">
              <a:noFill/>
            </a:ln>
          </c:spPr>
        </c:title>
        <c:numFmt formatCode="0.000_ " sourceLinked="0"/>
        <c:majorTickMark val="out"/>
        <c:minorTickMark val="in"/>
        <c:tickLblPos val="nextTo"/>
        <c:spPr>
          <a:ln w="3175">
            <a:solidFill>
              <a:srgbClr val="333333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BatangChe"/>
                <a:ea typeface="BatangChe"/>
                <a:cs typeface="BatangChe"/>
              </a:defRPr>
            </a:pPr>
            <a:endParaRPr lang="zh-CN"/>
          </a:p>
        </c:txPr>
        <c:crossAx val="378947072"/>
        <c:crossesAt val="0.1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新細明體"/>
          <a:ea typeface="新細明體"/>
          <a:cs typeface="新細明體"/>
        </a:defRPr>
      </a:pPr>
      <a:endParaRPr lang="zh-CN"/>
    </a:p>
  </c:txPr>
  <c:printSettings>
    <c:headerFooter alignWithMargins="0">
      <c:oddHeader>&amp;A</c:oddHeader>
      <c:oddFooter>Page &amp;P</c:oddFooter>
    </c:headerFooter>
    <c:pageMargins b="1" l="0.75000000000000111" r="0.75000000000000111" t="1" header="0.5" footer="0.5"/>
    <c:pageSetup paperSize="9" orientation="portrait" horizontalDpi="300" verticalDpi="300"/>
  </c:printSettings>
</c:chartSpace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39</xdr:row>
          <xdr:rowOff>47625</xdr:rowOff>
        </xdr:from>
        <xdr:to>
          <xdr:col>9</xdr:col>
          <xdr:colOff>171450</xdr:colOff>
          <xdr:row>41</xdr:row>
          <xdr:rowOff>209550</xdr:rowOff>
        </xdr:to>
        <xdr:sp macro="" textlink="">
          <xdr:nvSpPr>
            <xdr:cNvPr id="106499" name="Object 3" hidden="1">
              <a:extLst>
                <a:ext uri="{63B3BB69-23CF-44E3-9099-C40C66FF867C}">
                  <a14:compatExt spid="_x0000_s106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83</xdr:row>
          <xdr:rowOff>47625</xdr:rowOff>
        </xdr:from>
        <xdr:to>
          <xdr:col>9</xdr:col>
          <xdr:colOff>171450</xdr:colOff>
          <xdr:row>85</xdr:row>
          <xdr:rowOff>209550</xdr:rowOff>
        </xdr:to>
        <xdr:sp macro="" textlink="">
          <xdr:nvSpPr>
            <xdr:cNvPr id="106500" name="Object 4" hidden="1">
              <a:extLst>
                <a:ext uri="{63B3BB69-23CF-44E3-9099-C40C66FF867C}">
                  <a14:compatExt spid="_x0000_s106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127</xdr:row>
          <xdr:rowOff>47625</xdr:rowOff>
        </xdr:from>
        <xdr:to>
          <xdr:col>9</xdr:col>
          <xdr:colOff>171450</xdr:colOff>
          <xdr:row>129</xdr:row>
          <xdr:rowOff>209550</xdr:rowOff>
        </xdr:to>
        <xdr:sp macro="" textlink="">
          <xdr:nvSpPr>
            <xdr:cNvPr id="106501" name="Object 5" hidden="1">
              <a:extLst>
                <a:ext uri="{63B3BB69-23CF-44E3-9099-C40C66FF867C}">
                  <a14:compatExt spid="_x0000_s106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171</xdr:row>
          <xdr:rowOff>47625</xdr:rowOff>
        </xdr:from>
        <xdr:to>
          <xdr:col>9</xdr:col>
          <xdr:colOff>171450</xdr:colOff>
          <xdr:row>173</xdr:row>
          <xdr:rowOff>209550</xdr:rowOff>
        </xdr:to>
        <xdr:sp macro="" textlink="">
          <xdr:nvSpPr>
            <xdr:cNvPr id="106502" name="Object 6" hidden="1">
              <a:extLst>
                <a:ext uri="{63B3BB69-23CF-44E3-9099-C40C66FF867C}">
                  <a14:compatExt spid="_x0000_s106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215</xdr:row>
          <xdr:rowOff>47625</xdr:rowOff>
        </xdr:from>
        <xdr:to>
          <xdr:col>9</xdr:col>
          <xdr:colOff>171450</xdr:colOff>
          <xdr:row>217</xdr:row>
          <xdr:rowOff>209550</xdr:rowOff>
        </xdr:to>
        <xdr:sp macro="" textlink="">
          <xdr:nvSpPr>
            <xdr:cNvPr id="106503" name="Object 7" hidden="1">
              <a:extLst>
                <a:ext uri="{63B3BB69-23CF-44E3-9099-C40C66FF867C}">
                  <a14:compatExt spid="_x0000_s106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259</xdr:row>
          <xdr:rowOff>47625</xdr:rowOff>
        </xdr:from>
        <xdr:to>
          <xdr:col>9</xdr:col>
          <xdr:colOff>171450</xdr:colOff>
          <xdr:row>261</xdr:row>
          <xdr:rowOff>209550</xdr:rowOff>
        </xdr:to>
        <xdr:sp macro="" textlink="">
          <xdr:nvSpPr>
            <xdr:cNvPr id="106504" name="Object 8" hidden="1">
              <a:extLst>
                <a:ext uri="{63B3BB69-23CF-44E3-9099-C40C66FF867C}">
                  <a14:compatExt spid="_x0000_s106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39</xdr:row>
          <xdr:rowOff>28575</xdr:rowOff>
        </xdr:from>
        <xdr:to>
          <xdr:col>10</xdr:col>
          <xdr:colOff>0</xdr:colOff>
          <xdr:row>42</xdr:row>
          <xdr:rowOff>66675</xdr:rowOff>
        </xdr:to>
        <xdr:sp macro="" textlink="">
          <xdr:nvSpPr>
            <xdr:cNvPr id="203777" name="Object 1" hidden="1">
              <a:extLst>
                <a:ext uri="{63B3BB69-23CF-44E3-9099-C40C66FF867C}">
                  <a14:compatExt spid="_x0000_s203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83</xdr:row>
          <xdr:rowOff>28575</xdr:rowOff>
        </xdr:from>
        <xdr:to>
          <xdr:col>10</xdr:col>
          <xdr:colOff>0</xdr:colOff>
          <xdr:row>86</xdr:row>
          <xdr:rowOff>66675</xdr:rowOff>
        </xdr:to>
        <xdr:sp macro="" textlink="">
          <xdr:nvSpPr>
            <xdr:cNvPr id="203778" name="Object 2" hidden="1">
              <a:extLst>
                <a:ext uri="{63B3BB69-23CF-44E3-9099-C40C66FF867C}">
                  <a14:compatExt spid="_x0000_s203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127</xdr:row>
          <xdr:rowOff>28575</xdr:rowOff>
        </xdr:from>
        <xdr:to>
          <xdr:col>10</xdr:col>
          <xdr:colOff>0</xdr:colOff>
          <xdr:row>130</xdr:row>
          <xdr:rowOff>66675</xdr:rowOff>
        </xdr:to>
        <xdr:sp macro="" textlink="">
          <xdr:nvSpPr>
            <xdr:cNvPr id="203779" name="Object 3" hidden="1">
              <a:extLst>
                <a:ext uri="{63B3BB69-23CF-44E3-9099-C40C66FF867C}">
                  <a14:compatExt spid="_x0000_s203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171</xdr:row>
          <xdr:rowOff>28575</xdr:rowOff>
        </xdr:from>
        <xdr:to>
          <xdr:col>10</xdr:col>
          <xdr:colOff>0</xdr:colOff>
          <xdr:row>174</xdr:row>
          <xdr:rowOff>66675</xdr:rowOff>
        </xdr:to>
        <xdr:sp macro="" textlink="">
          <xdr:nvSpPr>
            <xdr:cNvPr id="203780" name="Object 4" hidden="1">
              <a:extLst>
                <a:ext uri="{63B3BB69-23CF-44E3-9099-C40C66FF867C}">
                  <a14:compatExt spid="_x0000_s203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215</xdr:row>
          <xdr:rowOff>28575</xdr:rowOff>
        </xdr:from>
        <xdr:to>
          <xdr:col>10</xdr:col>
          <xdr:colOff>0</xdr:colOff>
          <xdr:row>218</xdr:row>
          <xdr:rowOff>66675</xdr:rowOff>
        </xdr:to>
        <xdr:sp macro="" textlink="">
          <xdr:nvSpPr>
            <xdr:cNvPr id="203781" name="Object 5" hidden="1">
              <a:extLst>
                <a:ext uri="{63B3BB69-23CF-44E3-9099-C40C66FF867C}">
                  <a14:compatExt spid="_x0000_s203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259</xdr:row>
          <xdr:rowOff>28575</xdr:rowOff>
        </xdr:from>
        <xdr:to>
          <xdr:col>10</xdr:col>
          <xdr:colOff>0</xdr:colOff>
          <xdr:row>262</xdr:row>
          <xdr:rowOff>66675</xdr:rowOff>
        </xdr:to>
        <xdr:sp macro="" textlink="">
          <xdr:nvSpPr>
            <xdr:cNvPr id="203782" name="Object 6" hidden="1">
              <a:extLst>
                <a:ext uri="{63B3BB69-23CF-44E3-9099-C40C66FF867C}">
                  <a14:compatExt spid="_x0000_s203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78</xdr:row>
      <xdr:rowOff>28575</xdr:rowOff>
    </xdr:from>
    <xdr:to>
      <xdr:col>8</xdr:col>
      <xdr:colOff>628650</xdr:colOff>
      <xdr:row>79</xdr:row>
      <xdr:rowOff>190500</xdr:rowOff>
    </xdr:to>
    <xdr:pic>
      <xdr:nvPicPr>
        <xdr:cNvPr id="1329" name="Picture 1" descr="照片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2000"/>
        </a:blip>
        <a:srcRect/>
        <a:stretch>
          <a:fillRect/>
        </a:stretch>
      </xdr:blipFill>
      <xdr:spPr bwMode="auto">
        <a:xfrm>
          <a:off x="5381625" y="7124700"/>
          <a:ext cx="504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28575</xdr:colOff>
      <xdr:row>3</xdr:row>
      <xdr:rowOff>28575</xdr:rowOff>
    </xdr:from>
    <xdr:to>
      <xdr:col>12</xdr:col>
      <xdr:colOff>295275</xdr:colOff>
      <xdr:row>31</xdr:row>
      <xdr:rowOff>152400</xdr:rowOff>
    </xdr:to>
    <xdr:graphicFrame macro="">
      <xdr:nvGraphicFramePr>
        <xdr:cNvPr id="1330" name="圖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95251</xdr:colOff>
      <xdr:row>0</xdr:row>
      <xdr:rowOff>142875</xdr:rowOff>
    </xdr:from>
    <xdr:to>
      <xdr:col>18</xdr:col>
      <xdr:colOff>428625</xdr:colOff>
      <xdr:row>34</xdr:row>
      <xdr:rowOff>57150</xdr:rowOff>
    </xdr:to>
    <xdr:graphicFrame macro="">
      <xdr:nvGraphicFramePr>
        <xdr:cNvPr id="315396" name="圖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10" Type="http://schemas.openxmlformats.org/officeDocument/2006/relationships/oleObject" Target="../embeddings/oleObject5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4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9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4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8.bin"/><Relationship Id="rId11" Type="http://schemas.openxmlformats.org/officeDocument/2006/relationships/oleObject" Target="../embeddings/oleObject12.bin"/><Relationship Id="rId5" Type="http://schemas.openxmlformats.org/officeDocument/2006/relationships/image" Target="../media/image3.emf"/><Relationship Id="rId10" Type="http://schemas.openxmlformats.org/officeDocument/2006/relationships/oleObject" Target="../embeddings/oleObject11.bin"/><Relationship Id="rId4" Type="http://schemas.openxmlformats.org/officeDocument/2006/relationships/oleObject" Target="../embeddings/oleObject7.bin"/><Relationship Id="rId9" Type="http://schemas.openxmlformats.org/officeDocument/2006/relationships/oleObject" Target="../embeddings/oleObject10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0"/>
  <sheetViews>
    <sheetView zoomScale="75" workbookViewId="0">
      <selection activeCell="C24" sqref="C24"/>
    </sheetView>
  </sheetViews>
  <sheetFormatPr defaultColWidth="0" defaultRowHeight="16.5" zeroHeight="1"/>
  <cols>
    <col min="1" max="2" width="7.625" customWidth="1"/>
    <col min="3" max="3" width="13.625" bestFit="1" customWidth="1"/>
    <col min="4" max="5" width="7.625" customWidth="1"/>
    <col min="6" max="6" width="3.625" customWidth="1"/>
    <col min="7" max="10" width="7.625" customWidth="1"/>
    <col min="11" max="11" width="3.625" customWidth="1"/>
    <col min="12" max="15" width="7.625" customWidth="1"/>
    <col min="16" max="16" width="3.625" customWidth="1"/>
    <col min="17" max="17" width="14.5" bestFit="1" customWidth="1"/>
    <col min="18" max="18" width="9.125" bestFit="1" customWidth="1"/>
    <col min="19" max="20" width="10" bestFit="1" customWidth="1"/>
    <col min="21" max="21" width="3.625" customWidth="1"/>
    <col min="22" max="22" width="14.5" bestFit="1" customWidth="1"/>
    <col min="23" max="23" width="7.625" customWidth="1"/>
    <col min="24" max="25" width="10" bestFit="1" customWidth="1"/>
    <col min="26" max="26" width="3.625" customWidth="1"/>
    <col min="27" max="27" width="14.5" bestFit="1" customWidth="1"/>
    <col min="28" max="28" width="9.125" bestFit="1" customWidth="1"/>
    <col min="29" max="30" width="10" bestFit="1" customWidth="1"/>
    <col min="31" max="33" width="7.625" hidden="1" customWidth="1"/>
  </cols>
  <sheetData>
    <row r="1" spans="1:30"/>
    <row r="2" spans="1:30">
      <c r="B2" t="s">
        <v>103</v>
      </c>
      <c r="G2" t="s">
        <v>104</v>
      </c>
      <c r="L2" t="s">
        <v>105</v>
      </c>
      <c r="Q2" t="s">
        <v>106</v>
      </c>
      <c r="V2" t="s">
        <v>107</v>
      </c>
      <c r="AA2" t="s">
        <v>108</v>
      </c>
    </row>
    <row r="3" spans="1:30">
      <c r="B3" t="s">
        <v>95</v>
      </c>
      <c r="D3" t="str">
        <f>协调曲线图!S7</f>
        <v>SIT</v>
      </c>
      <c r="E3" t="str">
        <f>协调曲线图!W9</f>
        <v>SIT</v>
      </c>
      <c r="G3" t="s">
        <v>95</v>
      </c>
      <c r="I3" t="str">
        <f>协调曲线图!S14</f>
        <v>EIT</v>
      </c>
      <c r="J3" t="str">
        <f>协调曲线图!W16</f>
        <v>SIT</v>
      </c>
      <c r="L3" t="s">
        <v>95</v>
      </c>
      <c r="N3" t="str">
        <f>协调曲线图!S21</f>
        <v>EIT</v>
      </c>
      <c r="O3" t="str">
        <f>协调曲线图!W23</f>
        <v>SIT</v>
      </c>
      <c r="Q3" t="s">
        <v>95</v>
      </c>
      <c r="S3" t="str">
        <f>协调曲线图!S28</f>
        <v>EIT</v>
      </c>
      <c r="T3" t="str">
        <f>协调曲线图!W30</f>
        <v>SIT</v>
      </c>
      <c r="V3" t="s">
        <v>95</v>
      </c>
      <c r="X3" t="str">
        <f>协调曲线图!S35</f>
        <v>EIT</v>
      </c>
      <c r="Y3" t="str">
        <f>协调曲线图!W37</f>
        <v>SIT</v>
      </c>
      <c r="AA3" t="s">
        <v>95</v>
      </c>
      <c r="AC3" t="str">
        <f>协调曲线图!S42</f>
        <v>EIT</v>
      </c>
      <c r="AD3" t="str">
        <f>协调曲线图!W44</f>
        <v>SIT</v>
      </c>
    </row>
    <row r="4" spans="1:30">
      <c r="B4" t="s">
        <v>96</v>
      </c>
      <c r="C4" t="s">
        <v>97</v>
      </c>
      <c r="D4" t="s">
        <v>98</v>
      </c>
      <c r="E4" t="s">
        <v>99</v>
      </c>
      <c r="G4" t="s">
        <v>96</v>
      </c>
      <c r="H4" t="s">
        <v>97</v>
      </c>
      <c r="I4" t="s">
        <v>98</v>
      </c>
      <c r="J4" t="s">
        <v>99</v>
      </c>
      <c r="L4" t="s">
        <v>96</v>
      </c>
      <c r="M4" t="s">
        <v>97</v>
      </c>
      <c r="N4" t="s">
        <v>98</v>
      </c>
      <c r="O4" t="s">
        <v>99</v>
      </c>
      <c r="Q4" t="s">
        <v>96</v>
      </c>
      <c r="R4" t="s">
        <v>97</v>
      </c>
      <c r="S4" t="s">
        <v>98</v>
      </c>
      <c r="T4" t="s">
        <v>99</v>
      </c>
      <c r="V4" t="s">
        <v>96</v>
      </c>
      <c r="W4" t="s">
        <v>97</v>
      </c>
      <c r="X4" t="s">
        <v>98</v>
      </c>
      <c r="Y4" t="s">
        <v>99</v>
      </c>
      <c r="AA4" t="s">
        <v>96</v>
      </c>
      <c r="AB4" t="s">
        <v>97</v>
      </c>
      <c r="AC4" t="s">
        <v>98</v>
      </c>
      <c r="AD4" t="s">
        <v>99</v>
      </c>
    </row>
    <row r="5" spans="1:30">
      <c r="B5">
        <f>IF($D3="EIT",80,IF($D3="SIT",0.14,IF($D3="VIT",13.5,IF($D3="UIT",315.2,))))</f>
        <v>0.14000000000000001</v>
      </c>
      <c r="C5">
        <f>Lever1</f>
        <v>0.1</v>
      </c>
      <c r="D5">
        <f>IF($D3="EIT",2,IF($D3="SIT",0.02,IF($D3="VIT",1,IF($D3="UIT",2.5,))))</f>
        <v>0.02</v>
      </c>
      <c r="E5">
        <f>IF($D3="EIT",0.808,IF($D3="SIT",2.97,IF($D3="VIT",1.5,IF($D3="UIT",1,))))</f>
        <v>2.97</v>
      </c>
      <c r="G5">
        <f>IF($I3="EIT",80,IF($I3="SIT",0.14,IF($I3="VIT",13.5,IF($I3="UIT",315.2,))))</f>
        <v>80</v>
      </c>
      <c r="H5">
        <f>Lever2</f>
        <v>0.1</v>
      </c>
      <c r="I5">
        <f>IF($I3="EIT",2,IF($I3="SIT",0.02,IF($I3="VIT",1,IF($I3="UIT",2.5,))))</f>
        <v>2</v>
      </c>
      <c r="J5">
        <f>IF($I3="EIT",0.808,IF($I3="SIT",2.97,IF($I3="VIT",1.5,IF($I3="UIT",1,))))</f>
        <v>0.80800000000000005</v>
      </c>
      <c r="L5">
        <f>IF($N3="EIT",80,IF($N3="SIT",0.14,IF($N3="VIT",13.5,IF($N3="UIT",315.2,))))</f>
        <v>80</v>
      </c>
      <c r="M5">
        <f>Lever3</f>
        <v>0.1</v>
      </c>
      <c r="N5">
        <f>IF($N3="EIT",2,IF($N3="SIT",0.02,IF($N3="VIT",1,IF($N3="UIT",2.5,))))</f>
        <v>2</v>
      </c>
      <c r="O5">
        <f>IF($N3="EIT",0.808,IF($N3="SIT",2.97,IF($N3="VIT",1.5,IF($N3="UIT",1,))))</f>
        <v>0.80800000000000005</v>
      </c>
      <c r="Q5">
        <f>IF($S3="EIT",80,IF($S3="SIT",0.14,IF($S3="VIT",13.5,IF($S3="UIT",315.2,))))</f>
        <v>80</v>
      </c>
      <c r="R5">
        <f>Lever4</f>
        <v>0.1</v>
      </c>
      <c r="S5">
        <f>IF($S3="EIT",2,IF($S3="SIT",0.02,IF($S3="VIT",1,IF($S3="UIT",2.5,))))</f>
        <v>2</v>
      </c>
      <c r="T5">
        <f>IF($S3="EIT",0.808,IF($S3="SIT",2.97,IF($S3="VIT",1.5,IF($S3="UIT",1,))))</f>
        <v>0.80800000000000005</v>
      </c>
      <c r="V5">
        <f>IF($X3="EIT",80,IF($X3="SIT",0.14,IF($X3="VIT",13.5,IF($X3="UIT",315.2,))))</f>
        <v>80</v>
      </c>
      <c r="W5">
        <f>Lever5</f>
        <v>0.1</v>
      </c>
      <c r="X5">
        <f>IF($X3="EIT",2,IF($X3="SIT",0.02,IF($X3="VIT",1,IF($X3="UIT",2.5,))))</f>
        <v>2</v>
      </c>
      <c r="Y5">
        <f>IF($X3="EIT",0.808,IF($X3="SIT",2.97,IF($X3="VIT",1.5,IF($X3="UIT",1,))))</f>
        <v>0.80800000000000005</v>
      </c>
      <c r="AA5">
        <f>IF($AC3="EIT",80,IF($AC3="SIT",0.14,IF($AC3="VIT",13.5,IF($AC3="UIT",315.2,))))</f>
        <v>80</v>
      </c>
      <c r="AB5">
        <f>Lever6</f>
        <v>0.1</v>
      </c>
      <c r="AC5">
        <f>IF($AC3="EIT",2,IF($AC3="SIT",0.02,IF($AC3="VIT",1,IF($AC3="UIT",2.5,))))</f>
        <v>2</v>
      </c>
      <c r="AD5">
        <f>IF($AC3="EIT",0.808,IF($AC3="SIT",2.97,IF($AC3="VIT",1.5,IF($AC3="UIT",1,))))</f>
        <v>0.80800000000000005</v>
      </c>
    </row>
    <row r="6" spans="1:30">
      <c r="B6">
        <f>IF($E3="EIT",80,IF($E3="SIT",0.14,IF($E3="VIT",13.5,IF($E3="UIT",315.2,))))</f>
        <v>0.14000000000000001</v>
      </c>
      <c r="C6">
        <f>t0one</f>
        <v>0.5</v>
      </c>
      <c r="D6">
        <f>IF($E3="EIT",2,IF($E3="SIT",0.02,IF($E3="VIT",1,IF($E3="UIT",2.5,))))</f>
        <v>0.02</v>
      </c>
      <c r="E6">
        <f>IF($E3="EIT",0.808,IF($E3="SIT",2.97,IF($E3="VIT",1.5,IF($E3="UIT",1,))))</f>
        <v>2.97</v>
      </c>
      <c r="G6">
        <f>IF($J3="EIT",80,IF($J3="SIT",0.14,IF($J3="VIT",13.5,IF($J3="UIT",315.2,))))</f>
        <v>0.14000000000000001</v>
      </c>
      <c r="H6">
        <f>t0two</f>
        <v>0.7</v>
      </c>
      <c r="I6">
        <f>IF($J3="EIT",2,IF($J3="SIT",0.02,IF($J3="VIT",1,IF($J3="UIT",2.5,))))</f>
        <v>0.02</v>
      </c>
      <c r="J6">
        <f>IF($J3="EIT",0.808,IF($J3="SIT",2.97,IF($J3="VIT",1.5,IF($J3="UIT",1,))))</f>
        <v>2.97</v>
      </c>
      <c r="L6">
        <f>IF($O3="EIT",80,IF($O3="SIT",0.14,IF($O3="VIT",13.5,IF($O3="UIT",315.2,))))</f>
        <v>0.14000000000000001</v>
      </c>
      <c r="M6">
        <f>t0three</f>
        <v>0.9</v>
      </c>
      <c r="N6">
        <f>IF($O3="EIT",2,IF($O3="SIT",0.02,IF($O3="VIT",1,IF($O3="UIT",2.5,))))</f>
        <v>0.02</v>
      </c>
      <c r="O6">
        <f>IF($O3="EIT",0.808,IF($O3="SIT",2.97,IF($O3="VIT",1.5,IF($O3="UIT",1,))))</f>
        <v>2.97</v>
      </c>
      <c r="Q6">
        <f>IF($T3="EIT",80,IF($T3="SIT",0.14,IF($T3="VIT",13.5,IF($T3="UIT",315.2,))))</f>
        <v>0.14000000000000001</v>
      </c>
      <c r="R6">
        <f>t0four</f>
        <v>1.1000000000000001</v>
      </c>
      <c r="S6">
        <f>IF($T3="EIT",2,IF($T3="SIT",0.02,IF($T3="VIT",1,IF($T3="UIT",2.5,))))</f>
        <v>0.02</v>
      </c>
      <c r="T6">
        <f>IF($T3="EIT",0.808,IF($T3="SIT",2.97,IF($T3="VIT",1.5,IF($T3="UIT",1,))))</f>
        <v>2.97</v>
      </c>
      <c r="V6">
        <f>IF($Y3="EIT",80,IF($Y3="SIT",0.14,IF($Y3="VIT",13.5,IF($Y3="UIT",315.2,))))</f>
        <v>0.14000000000000001</v>
      </c>
      <c r="W6">
        <f>t0five</f>
        <v>1.3</v>
      </c>
      <c r="X6">
        <f>IF($Y3="EIT",2,IF($Y3="SIT",0.02,IF($Y3="VIT",1,IF($Y3="UIT",2.5,))))</f>
        <v>0.02</v>
      </c>
      <c r="Y6">
        <f>IF($Y3="EIT",0.808,IF($Y3="SIT",2.97,IF($Y3="VIT",1.5,IF($Y3="UIT",1,))))</f>
        <v>2.97</v>
      </c>
      <c r="AA6">
        <f>IF($AD3="EIT",80,IF($AD3="SIT",0.14,IF($AD3="VIT",13.5,IF($AD3="UIT",315.2,))))</f>
        <v>0.14000000000000001</v>
      </c>
      <c r="AB6">
        <f>t0six</f>
        <v>1.6</v>
      </c>
      <c r="AC6">
        <f>IF($AD3="EIT",2,IF($AD3="SIT",0.02,IF($AD3="VIT",1,IF($AD3="UIT",2.5,))))</f>
        <v>0.02</v>
      </c>
      <c r="AD6">
        <f>IF($AD3="EIT",0.808,IF($AD3="SIT",2.97,IF($AD3="VIT",1.5,IF($AD3="UIT",1,))))</f>
        <v>2.97</v>
      </c>
    </row>
    <row r="7" spans="1:30">
      <c r="A7" t="s">
        <v>0</v>
      </c>
      <c r="B7" t="s">
        <v>1</v>
      </c>
      <c r="C7" t="s">
        <v>2</v>
      </c>
      <c r="D7" t="s">
        <v>123</v>
      </c>
      <c r="E7" t="s">
        <v>124</v>
      </c>
      <c r="G7" t="s">
        <v>1</v>
      </c>
      <c r="H7" t="s">
        <v>2</v>
      </c>
      <c r="I7" t="s">
        <v>123</v>
      </c>
      <c r="J7" t="s">
        <v>124</v>
      </c>
      <c r="L7" t="s">
        <v>1</v>
      </c>
      <c r="M7" t="s">
        <v>2</v>
      </c>
      <c r="N7" t="s">
        <v>123</v>
      </c>
      <c r="O7" t="s">
        <v>124</v>
      </c>
      <c r="Q7" t="s">
        <v>1</v>
      </c>
      <c r="R7" t="s">
        <v>2</v>
      </c>
      <c r="S7" t="s">
        <v>123</v>
      </c>
      <c r="T7" t="s">
        <v>124</v>
      </c>
      <c r="V7" t="s">
        <v>1</v>
      </c>
      <c r="W7" t="s">
        <v>2</v>
      </c>
      <c r="X7" t="s">
        <v>123</v>
      </c>
      <c r="Y7" t="s">
        <v>124</v>
      </c>
      <c r="AA7" t="s">
        <v>1</v>
      </c>
      <c r="AB7" t="s">
        <v>2</v>
      </c>
      <c r="AC7" t="s">
        <v>123</v>
      </c>
      <c r="AD7" t="s">
        <v>124</v>
      </c>
    </row>
    <row r="8" spans="1:30">
      <c r="A8">
        <v>1.2</v>
      </c>
      <c r="B8">
        <f t="shared" ref="B8:B39" si="0">IF((kone/((POWER($A8,alfa1))-1)*(tone/beta1))&gt;瞬跳時間1,kone/((POWER($A8,alfa1))-1)*(tone/beta1),瞬跳時間1)</f>
        <v>1.2903618577749472</v>
      </c>
      <c r="C8">
        <f>IF(协调曲线图!$S$8="是，LCO绘图",IF((k0one/((POWER($A8,alfa01))-1)*(t0one/beta01))&gt;Lco瞬跳時間1,k0one/((POWER($A8,alfa01))-1)*(t0one/beta01),Lco瞬跳時間1)," ")</f>
        <v>6.4518092888747356</v>
      </c>
      <c r="D8">
        <f t="shared" ref="D8:D40" si="1">IF(Isone*$A8&gt;=瞬跳電流1,瞬跳電流1,Isone*$A8)/(covb1/covt1)</f>
        <v>38.4</v>
      </c>
      <c r="E8">
        <f t="shared" ref="E8:E40" si="2">IF(Is0one*$A8&gt;=Lco瞬跳電流1,Lco瞬跳電流1,Is0one*$A8)/(covb1/covt1)</f>
        <v>18</v>
      </c>
      <c r="G8">
        <f t="shared" ref="G8:G39" si="3">IF((ktwo/((POWER($A8,alfa2))-1)*(ttwo/beta2))&gt;瞬跳時間2,ktwo/((POWER($A8,alfa2))-1)*(ttwo/beta2),瞬跳時間2)</f>
        <v>22.502250225022504</v>
      </c>
      <c r="H8">
        <f>IF(协调曲线图!$S$15="是，LCO绘图",IF((k0two/((POWER($A8,alfa02))-1)*(t0two/beta02))&gt;Lco瞬跳時間2,k0two/((POWER($A8,alfa02))-1)*(t0two/beta02),Lco瞬跳時間2)," ")</f>
        <v>9.0325330044246304</v>
      </c>
      <c r="I8">
        <f t="shared" ref="I8:I39" si="4">IF(Istwo*$A8&gt;=瞬跳電流2,瞬跳電流2,Istwo*$A8)/(covb2/covt2)</f>
        <v>72</v>
      </c>
      <c r="J8">
        <f t="shared" ref="J8:J39" si="5">IF(Is0two*$A8&gt;=Lco瞬跳電流2,Lco瞬跳電流2,Is0two*$A8)/(covb2/covt2)</f>
        <v>18</v>
      </c>
      <c r="L8">
        <f t="shared" ref="L8:L39" si="6">IF((kthree/((POWER($A8,alfa3))-1)*(tthree/beta3))&gt;瞬跳時間3,kthree/((POWER($A8,alfa3))-1)*(tthree/beta3),瞬跳時間3)</f>
        <v>22.502250225022504</v>
      </c>
      <c r="M8">
        <f>IF(协调曲线图!$S$22="是，LCO绘图",IF((k0three/((POWER($A8,alfa03))-1)*(t0three/beta03))&gt;Lco瞬跳時間3,k0three/((POWER($A8,alfa03))-1)*(t0three/beta03),Lco瞬跳時間3)," ")</f>
        <v>11.613256719974526</v>
      </c>
      <c r="N8">
        <f t="shared" ref="N8:N39" si="7">IF(Isthree*$A8&gt;=瞬跳電流3,瞬跳電流3,Isthree*$A8)/(covb3/covt3)</f>
        <v>168</v>
      </c>
      <c r="O8">
        <f t="shared" ref="O8:O39" si="8">IF(Is0three*$A8&gt;=Lco瞬跳電流3,Lco瞬跳電流3,Is0three*$A8)/(covb3/covt3)</f>
        <v>18</v>
      </c>
      <c r="Q8">
        <f t="shared" ref="Q8:Q39" si="9">IF((kfour/((POWER($A8,alfa4))-1)*(tfour/beta4))&gt;瞬跳時間4,kfour/((POWER($A8,alfa4))-1)*(tfour/beta4),瞬跳時間4)</f>
        <v>22.502250225022504</v>
      </c>
      <c r="R8">
        <f>IF(协调曲线图!$S$29="是，LCO绘图",IF((k0four/((POWER($A8,alfa04))-1)*(t0four/beta04))&gt;Lco瞬跳時間4,k0four/((POWER($A8,alfa04))-1)*(t0four/beta04),Lco瞬跳時間4)," ")</f>
        <v>14.193980435524418</v>
      </c>
      <c r="S8">
        <f t="shared" ref="S8:S39" si="10">IF(Isfour*$A8&gt;=瞬跳電流4,瞬跳電流4,Isfour*$A8)/(covb4/covt4)</f>
        <v>264</v>
      </c>
      <c r="T8">
        <f t="shared" ref="T8:T39" si="11">IF(Is0four*$A8&gt;=Lco瞬跳電流4,Lco瞬跳電流4,Is0four*$A8)/(covb4/covt4)</f>
        <v>18</v>
      </c>
      <c r="V8">
        <f t="shared" ref="V8:V39" si="12">IF((kfive/((POWER($A8,alfa5))-1)*(tfive/beta5))&gt;瞬跳時間5,kfive/((POWER($A8,alfa5))-1)*(tfive/beta5),瞬跳時間5)</f>
        <v>22.502250225022504</v>
      </c>
      <c r="W8">
        <f>IF(协调曲线图!$S$36="是，LCO绘图",IF((k0five/((POWER($A8,alfa05))-1)*(t0five/beta05))&gt;Lco瞬跳時間5,k0five/((POWER($A8,alfa05))-1)*(t0five/beta05),Lco瞬跳時間5)," ")</f>
        <v>16.774704151074314</v>
      </c>
      <c r="X8">
        <f t="shared" ref="X8:X39" si="13">IF(Isfive*$A8&gt;=瞬跳電流5,瞬跳電流5,Isfive*$A8)/(covb5/covt5)</f>
        <v>456</v>
      </c>
      <c r="Y8">
        <f t="shared" ref="Y8:Y39" si="14">IF(Is0five*$A8&gt;=Lco瞬跳電流5,Lco瞬跳電流5,Is0five*$A8)/(covb5/covt5)</f>
        <v>18</v>
      </c>
      <c r="AA8">
        <f t="shared" ref="AA8:AA39" si="15">IF((ksix/((POWER($A8,alfa6))-1)*(tsix/beta6))&gt;瞬跳時間6,ksix/((POWER($A8,alfa6))-1)*(tsix/beta6),瞬跳時間6)</f>
        <v>22.502250225022504</v>
      </c>
      <c r="AB8">
        <f>IF(协调曲线图!$S$43="是，LCO绘图",IF((k0six/((POWER($A8,alfa06))-1)*(t0six/beta06))&gt;Lco瞬跳時間6,k0six/((POWER($A8,alfa06))-1)*(t0six/beta06),Lco瞬跳時間6)," ")</f>
        <v>20.645789724399155</v>
      </c>
      <c r="AC8">
        <f t="shared" ref="AC8:AC39" si="16">IF(Issix*$A8&gt;=瞬跳電流6,瞬跳電流6,Issix*$A8)/(covb6/covt6)</f>
        <v>600</v>
      </c>
      <c r="AD8">
        <f t="shared" ref="AD8:AD39" si="17">IF(Is0six*$A8&gt;=Lco瞬跳電流6,Lco瞬跳電流6,Is0six*$A8)/(covb6/covt6)</f>
        <v>36</v>
      </c>
    </row>
    <row r="9" spans="1:30">
      <c r="A9">
        <v>2</v>
      </c>
      <c r="B9">
        <f t="shared" si="0"/>
        <v>0.33767767744265559</v>
      </c>
      <c r="C9">
        <f>IF(协调曲线图!$S$8="是，LCO绘图",IF((k0one/((POWER($A9,alfa01))-1)*(t0one/beta01))&gt;Lco瞬跳時間1,k0one/((POWER($A9,alfa01))-1)*(t0one/beta01),Lco瞬跳時間1)," ")</f>
        <v>1.6883883872132779</v>
      </c>
      <c r="D9">
        <f t="shared" si="1"/>
        <v>64</v>
      </c>
      <c r="E9">
        <f t="shared" si="2"/>
        <v>30</v>
      </c>
      <c r="G9">
        <f t="shared" si="3"/>
        <v>3.3003300330033003</v>
      </c>
      <c r="H9">
        <f>IF(协调曲线图!$S$15="是，LCO绘图",IF((k0two/((POWER($A9,alfa02))-1)*(t0two/beta02))&gt;Lco瞬跳時間2,k0two/((POWER($A9,alfa02))-1)*(t0two/beta02),Lco瞬跳時間2)," ")</f>
        <v>2.3637437420985892</v>
      </c>
      <c r="I9">
        <f t="shared" si="4"/>
        <v>120</v>
      </c>
      <c r="J9">
        <f t="shared" si="5"/>
        <v>30</v>
      </c>
      <c r="L9">
        <f t="shared" si="6"/>
        <v>3.3003300330033003</v>
      </c>
      <c r="M9">
        <f>IF(协调曲线图!$S$22="是，LCO绘图",IF((k0three/((POWER($A9,alfa03))-1)*(t0three/beta03))&gt;Lco瞬跳時間3,k0three/((POWER($A9,alfa03))-1)*(t0three/beta03),Lco瞬跳時間3)," ")</f>
        <v>3.0390990969839007</v>
      </c>
      <c r="N9">
        <f t="shared" si="7"/>
        <v>280</v>
      </c>
      <c r="O9">
        <f t="shared" si="8"/>
        <v>30</v>
      </c>
      <c r="Q9">
        <f t="shared" si="9"/>
        <v>3.3003300330033003</v>
      </c>
      <c r="R9">
        <f>IF(协调曲线图!$S$29="是，LCO绘图",IF((k0four/((POWER($A9,alfa04))-1)*(t0four/beta04))&gt;Lco瞬跳時間4,k0four/((POWER($A9,alfa04))-1)*(t0four/beta04),Lco瞬跳時間4)," ")</f>
        <v>3.7144544518692117</v>
      </c>
      <c r="S9">
        <f t="shared" si="10"/>
        <v>440</v>
      </c>
      <c r="T9">
        <f t="shared" si="11"/>
        <v>30</v>
      </c>
      <c r="V9">
        <f t="shared" si="12"/>
        <v>3.3003300330033003</v>
      </c>
      <c r="W9">
        <f>IF(协调曲线图!$S$36="是，LCO绘图",IF((k0five/((POWER($A9,alfa05))-1)*(t0five/beta05))&gt;Lco瞬跳時間5,k0five/((POWER($A9,alfa05))-1)*(t0five/beta05),Lco瞬跳時間5)," ")</f>
        <v>4.3898098067545233</v>
      </c>
      <c r="X9">
        <f t="shared" si="13"/>
        <v>760</v>
      </c>
      <c r="Y9">
        <f t="shared" si="14"/>
        <v>30</v>
      </c>
      <c r="AA9">
        <f t="shared" si="15"/>
        <v>3.3003300330033003</v>
      </c>
      <c r="AB9">
        <f>IF(协调曲线图!$S$43="是，LCO绘图",IF((k0six/((POWER($A9,alfa06))-1)*(t0six/beta06))&gt;Lco瞬跳時間6,k0six/((POWER($A9,alfa06))-1)*(t0six/beta06),Lco瞬跳時間6)," ")</f>
        <v>5.4028428390824894</v>
      </c>
      <c r="AC9">
        <f t="shared" si="16"/>
        <v>1000</v>
      </c>
      <c r="AD9">
        <f t="shared" si="17"/>
        <v>60</v>
      </c>
    </row>
    <row r="10" spans="1:30">
      <c r="A10">
        <v>3</v>
      </c>
      <c r="B10">
        <f t="shared" si="0"/>
        <v>0.21218622650480146</v>
      </c>
      <c r="C10">
        <f>IF(协调曲线图!$S$8="是，LCO绘图",IF((k0one/((POWER($A10,alfa01))-1)*(t0one/beta01))&gt;Lco瞬跳時間1,k0one/((POWER($A10,alfa01))-1)*(t0one/beta01),Lco瞬跳時間1)," ")</f>
        <v>1.0609311325240072</v>
      </c>
      <c r="D10">
        <f t="shared" si="1"/>
        <v>96</v>
      </c>
      <c r="E10">
        <f t="shared" si="2"/>
        <v>45</v>
      </c>
      <c r="G10">
        <f t="shared" si="3"/>
        <v>1.2376237623762376</v>
      </c>
      <c r="H10">
        <f>IF(协调曲线图!$S$15="是，LCO绘图",IF((k0two/((POWER($A10,alfa02))-1)*(t0two/beta02))&gt;Lco瞬跳時間2,k0two/((POWER($A10,alfa02))-1)*(t0two/beta02),Lco瞬跳時間2)," ")</f>
        <v>1.4853035855336101</v>
      </c>
      <c r="I10">
        <f t="shared" si="4"/>
        <v>180</v>
      </c>
      <c r="J10">
        <f t="shared" si="5"/>
        <v>45</v>
      </c>
      <c r="L10">
        <f t="shared" si="6"/>
        <v>1.2376237623762376</v>
      </c>
      <c r="M10">
        <f>IF(协调曲线图!$S$22="是，LCO绘图",IF((k0three/((POWER($A10,alfa03))-1)*(t0three/beta03))&gt;Lco瞬跳時間3,k0three/((POWER($A10,alfa03))-1)*(t0three/beta03),Lco瞬跳時間3)," ")</f>
        <v>1.9096760385432132</v>
      </c>
      <c r="N10">
        <f t="shared" si="7"/>
        <v>420</v>
      </c>
      <c r="O10">
        <f t="shared" si="8"/>
        <v>45</v>
      </c>
      <c r="Q10">
        <f t="shared" si="9"/>
        <v>1.2376237623762376</v>
      </c>
      <c r="R10">
        <f>IF(协调曲线图!$S$29="是，LCO绘图",IF((k0four/((POWER($A10,alfa04))-1)*(t0four/beta04))&gt;Lco瞬跳時間4,k0four/((POWER($A10,alfa04))-1)*(t0four/beta04),Lco瞬跳時間4)," ")</f>
        <v>2.3340484915528159</v>
      </c>
      <c r="S10">
        <f t="shared" si="10"/>
        <v>660</v>
      </c>
      <c r="T10">
        <f t="shared" si="11"/>
        <v>45</v>
      </c>
      <c r="V10">
        <f t="shared" si="12"/>
        <v>1.2376237623762376</v>
      </c>
      <c r="W10">
        <f>IF(协调曲线图!$S$36="是，LCO绘图",IF((k0five/((POWER($A10,alfa05))-1)*(t0five/beta05))&gt;Lco瞬跳時間5,k0five/((POWER($A10,alfa05))-1)*(t0five/beta05),Lco瞬跳時間5)," ")</f>
        <v>2.758420944562419</v>
      </c>
      <c r="X10">
        <f t="shared" si="13"/>
        <v>1140</v>
      </c>
      <c r="Y10">
        <f t="shared" si="14"/>
        <v>45</v>
      </c>
      <c r="AA10">
        <f t="shared" si="15"/>
        <v>1.2376237623762376</v>
      </c>
      <c r="AB10">
        <f>IF(协调曲线图!$S$43="是，LCO绘图",IF((k0six/((POWER($A10,alfa06))-1)*(t0six/beta06))&gt;Lco瞬跳時間6,k0six/((POWER($A10,alfa06))-1)*(t0six/beta06),Lco瞬跳時間6)," ")</f>
        <v>3.3949796240768233</v>
      </c>
      <c r="AC10">
        <f t="shared" si="16"/>
        <v>1500</v>
      </c>
      <c r="AD10">
        <f t="shared" si="17"/>
        <v>90</v>
      </c>
    </row>
    <row r="11" spans="1:30">
      <c r="A11">
        <v>4</v>
      </c>
      <c r="B11">
        <f t="shared" si="0"/>
        <v>0.16766855581317835</v>
      </c>
      <c r="C11">
        <f>IF(协调曲线图!$S$8="是，LCO绘图",IF((k0one/((POWER($A11,alfa01))-1)*(t0one/beta01))&gt;Lco瞬跳時間1,k0one/((POWER($A11,alfa01))-1)*(t0one/beta01),Lco瞬跳時間1)," ")</f>
        <v>0.83834277906589172</v>
      </c>
      <c r="D11">
        <f t="shared" si="1"/>
        <v>128</v>
      </c>
      <c r="E11">
        <f t="shared" si="2"/>
        <v>60</v>
      </c>
      <c r="G11">
        <f t="shared" si="3"/>
        <v>0.66006600660066006</v>
      </c>
      <c r="H11">
        <f>IF(协调曲线图!$S$15="是，LCO绘图",IF((k0two/((POWER($A11,alfa02))-1)*(t0two/beta02))&gt;Lco瞬跳時間2,k0two/((POWER($A11,alfa02))-1)*(t0two/beta02),Lco瞬跳時間2)," ")</f>
        <v>1.1736798906922483</v>
      </c>
      <c r="I11">
        <f t="shared" si="4"/>
        <v>240</v>
      </c>
      <c r="J11">
        <f t="shared" si="5"/>
        <v>60</v>
      </c>
      <c r="L11">
        <f t="shared" si="6"/>
        <v>0.66006600660066006</v>
      </c>
      <c r="M11">
        <f>IF(协调曲线图!$S$22="是，LCO绘图",IF((k0three/((POWER($A11,alfa03))-1)*(t0three/beta03))&gt;Lco瞬跳時間3,k0three/((POWER($A11,alfa03))-1)*(t0three/beta03),Lco瞬跳時間3)," ")</f>
        <v>1.5090170023186054</v>
      </c>
      <c r="N11">
        <f t="shared" si="7"/>
        <v>560</v>
      </c>
      <c r="O11">
        <f t="shared" si="8"/>
        <v>60</v>
      </c>
      <c r="Q11">
        <f t="shared" si="9"/>
        <v>0.66006600660066006</v>
      </c>
      <c r="R11">
        <f>IF(协调曲线图!$S$29="是，LCO绘图",IF((k0four/((POWER($A11,alfa04))-1)*(t0four/beta04))&gt;Lco瞬跳時間4,k0four/((POWER($A11,alfa04))-1)*(t0four/beta04),Lco瞬跳時間4)," ")</f>
        <v>1.8443541139449617</v>
      </c>
      <c r="S11">
        <f t="shared" si="10"/>
        <v>880</v>
      </c>
      <c r="T11">
        <f t="shared" si="11"/>
        <v>60</v>
      </c>
      <c r="V11">
        <f t="shared" si="12"/>
        <v>0.85</v>
      </c>
      <c r="W11">
        <f>IF(协调曲线图!$S$36="是，LCO绘图",IF((k0five/((POWER($A11,alfa05))-1)*(t0five/beta05))&gt;Lco瞬跳時間5,k0five/((POWER($A11,alfa05))-1)*(t0five/beta05),Lco瞬跳時間5)," ")</f>
        <v>2.1796912255713186</v>
      </c>
      <c r="X11">
        <f t="shared" si="13"/>
        <v>1520</v>
      </c>
      <c r="Y11">
        <f t="shared" si="14"/>
        <v>60</v>
      </c>
      <c r="AA11">
        <f t="shared" si="15"/>
        <v>1.05</v>
      </c>
      <c r="AB11">
        <f>IF(协调曲线图!$S$43="是，LCO绘图",IF((k0six/((POWER($A11,alfa06))-1)*(t0six/beta06))&gt;Lco瞬跳時間6,k0six/((POWER($A11,alfa06))-1)*(t0six/beta06),Lco瞬跳時間6)," ")</f>
        <v>2.6826968930108537</v>
      </c>
      <c r="AC11">
        <f t="shared" si="16"/>
        <v>2000</v>
      </c>
      <c r="AD11">
        <f t="shared" si="17"/>
        <v>120</v>
      </c>
    </row>
    <row r="12" spans="1:30">
      <c r="A12">
        <v>5</v>
      </c>
      <c r="B12">
        <f t="shared" si="0"/>
        <v>0.14409831888704963</v>
      </c>
      <c r="C12">
        <f>IF(协调曲线图!$S$8="是，LCO绘图",IF((k0one/((POWER($A12,alfa01))-1)*(t0one/beta01))&gt;Lco瞬跳時間1,k0one/((POWER($A12,alfa01))-1)*(t0one/beta01),Lco瞬跳時間1)," ")</f>
        <v>0.72049159443524813</v>
      </c>
      <c r="D12">
        <f t="shared" si="1"/>
        <v>160</v>
      </c>
      <c r="E12">
        <f t="shared" si="2"/>
        <v>75</v>
      </c>
      <c r="G12">
        <f t="shared" si="3"/>
        <v>0.41254125412541254</v>
      </c>
      <c r="H12">
        <f>IF(协调曲线图!$S$15="是，LCO绘图",IF((k0two/((POWER($A12,alfa02))-1)*(t0two/beta02))&gt;Lco瞬跳時間2,k0two/((POWER($A12,alfa02))-1)*(t0two/beta02),Lco瞬跳時間2)," ")</f>
        <v>1.0086882322093473</v>
      </c>
      <c r="I12">
        <f t="shared" si="4"/>
        <v>300</v>
      </c>
      <c r="J12">
        <f t="shared" si="5"/>
        <v>75</v>
      </c>
      <c r="L12">
        <f t="shared" si="6"/>
        <v>0.45</v>
      </c>
      <c r="M12">
        <f>IF(协调曲线图!$S$22="是，LCO绘图",IF((k0three/((POWER($A12,alfa03))-1)*(t0three/beta03))&gt;Lco瞬跳時間3,k0three/((POWER($A12,alfa03))-1)*(t0three/beta03),Lco瞬跳時間3)," ")</f>
        <v>1.2968848699834468</v>
      </c>
      <c r="N12">
        <f t="shared" si="7"/>
        <v>700</v>
      </c>
      <c r="O12">
        <f t="shared" si="8"/>
        <v>75</v>
      </c>
      <c r="Q12">
        <f t="shared" si="9"/>
        <v>0.65</v>
      </c>
      <c r="R12">
        <f>IF(协调曲线图!$S$29="是，LCO绘图",IF((k0four/((POWER($A12,alfa04))-1)*(t0four/beta04))&gt;Lco瞬跳時間4,k0four/((POWER($A12,alfa04))-1)*(t0four/beta04),Lco瞬跳時間4)," ")</f>
        <v>1.585081507757546</v>
      </c>
      <c r="S12">
        <f t="shared" si="10"/>
        <v>1100</v>
      </c>
      <c r="T12">
        <f t="shared" si="11"/>
        <v>75</v>
      </c>
      <c r="V12">
        <f t="shared" si="12"/>
        <v>0.85</v>
      </c>
      <c r="W12">
        <f>IF(协调曲线图!$S$36="是，LCO绘图",IF((k0five/((POWER($A12,alfa05))-1)*(t0five/beta05))&gt;Lco瞬跳時間5,k0five/((POWER($A12,alfa05))-1)*(t0five/beta05),Lco瞬跳時間5)," ")</f>
        <v>1.8732781455316454</v>
      </c>
      <c r="X12">
        <f t="shared" si="13"/>
        <v>1900</v>
      </c>
      <c r="Y12">
        <f t="shared" si="14"/>
        <v>75</v>
      </c>
      <c r="AA12">
        <f t="shared" si="15"/>
        <v>1.05</v>
      </c>
      <c r="AB12">
        <f>IF(协调曲线图!$S$43="是，LCO绘图",IF((k0six/((POWER($A12,alfa06))-1)*(t0six/beta06))&gt;Lco瞬跳時間6,k0six/((POWER($A12,alfa06))-1)*(t0six/beta06),Lco瞬跳時間6)," ")</f>
        <v>2.3055731021927941</v>
      </c>
      <c r="AC12">
        <f t="shared" si="16"/>
        <v>2500</v>
      </c>
      <c r="AD12">
        <f t="shared" si="17"/>
        <v>150</v>
      </c>
    </row>
    <row r="13" spans="1:30">
      <c r="A13">
        <v>6</v>
      </c>
      <c r="B13">
        <f t="shared" si="0"/>
        <v>0.12919839912863662</v>
      </c>
      <c r="C13">
        <f>IF(协调曲线图!$S$8="是，LCO绘图",IF((k0one/((POWER($A13,alfa01))-1)*(t0one/beta01))&gt;Lco瞬跳時間1,k0one/((POWER($A13,alfa01))-1)*(t0one/beta01),Lco瞬跳時間1)," ")</f>
        <v>0.6459919956431831</v>
      </c>
      <c r="D13">
        <f t="shared" si="1"/>
        <v>192</v>
      </c>
      <c r="E13">
        <f t="shared" si="2"/>
        <v>90</v>
      </c>
      <c r="G13">
        <f t="shared" si="3"/>
        <v>0.28288543140028288</v>
      </c>
      <c r="H13">
        <f>IF(协调曲线图!$S$15="是，LCO绘图",IF((k0two/((POWER($A13,alfa02))-1)*(t0two/beta02))&gt;Lco瞬跳時間2,k0two/((POWER($A13,alfa02))-1)*(t0two/beta02),Lco瞬跳時間2)," ")</f>
        <v>0.90438879390045634</v>
      </c>
      <c r="I13">
        <f t="shared" si="4"/>
        <v>360</v>
      </c>
      <c r="J13">
        <f t="shared" si="5"/>
        <v>90</v>
      </c>
      <c r="L13">
        <f t="shared" si="6"/>
        <v>0.45</v>
      </c>
      <c r="M13">
        <f>IF(协调曲线图!$S$22="是，LCO绘图",IF((k0three/((POWER($A13,alfa03))-1)*(t0three/beta03))&gt;Lco瞬跳時間3,k0three/((POWER($A13,alfa03))-1)*(t0three/beta03),Lco瞬跳時間3)," ")</f>
        <v>1.1627855921577297</v>
      </c>
      <c r="N13">
        <f t="shared" si="7"/>
        <v>840</v>
      </c>
      <c r="O13">
        <f t="shared" si="8"/>
        <v>90</v>
      </c>
      <c r="Q13">
        <f t="shared" si="9"/>
        <v>0.65</v>
      </c>
      <c r="R13">
        <f>IF(协调曲线图!$S$29="是，LCO绘图",IF((k0four/((POWER($A13,alfa04))-1)*(t0four/beta04))&gt;Lco瞬跳時間4,k0four/((POWER($A13,alfa04))-1)*(t0four/beta04),Lco瞬跳時間4)," ")</f>
        <v>1.4211823904150027</v>
      </c>
      <c r="S13">
        <f t="shared" si="10"/>
        <v>1320</v>
      </c>
      <c r="T13">
        <f t="shared" si="11"/>
        <v>90</v>
      </c>
      <c r="V13">
        <f t="shared" si="12"/>
        <v>0.85</v>
      </c>
      <c r="W13">
        <f>IF(协调曲线图!$S$36="是，LCO绘图",IF((k0five/((POWER($A13,alfa05))-1)*(t0five/beta05))&gt;Lco瞬跳時間5,k0five/((POWER($A13,alfa05))-1)*(t0five/beta05),Lco瞬跳時間5)," ")</f>
        <v>1.6795791886722762</v>
      </c>
      <c r="X13">
        <f t="shared" si="13"/>
        <v>2280</v>
      </c>
      <c r="Y13">
        <f t="shared" si="14"/>
        <v>90</v>
      </c>
      <c r="AA13">
        <f t="shared" si="15"/>
        <v>1.05</v>
      </c>
      <c r="AB13">
        <f>IF(协调曲线图!$S$43="是，LCO绘图",IF((k0six/((POWER($A13,alfa06))-1)*(t0six/beta06))&gt;Lco瞬跳時間6,k0six/((POWER($A13,alfa06))-1)*(t0six/beta06),Lco瞬跳時間6)," ")</f>
        <v>2.0671743860581859</v>
      </c>
      <c r="AC13">
        <f t="shared" si="16"/>
        <v>3000</v>
      </c>
      <c r="AD13">
        <f t="shared" si="17"/>
        <v>180</v>
      </c>
    </row>
    <row r="14" spans="1:30">
      <c r="A14">
        <v>7</v>
      </c>
      <c r="B14">
        <f t="shared" si="0"/>
        <v>0.11877920642519486</v>
      </c>
      <c r="C14">
        <f>IF(协调曲线图!$S$8="是，LCO绘图",IF((k0one/((POWER($A14,alfa01))-1)*(t0one/beta01))&gt;Lco瞬跳時間1,k0one/((POWER($A14,alfa01))-1)*(t0one/beta01),Lco瞬跳時間1)," ")</f>
        <v>0.5938960321259743</v>
      </c>
      <c r="D14">
        <f t="shared" si="1"/>
        <v>224</v>
      </c>
      <c r="E14">
        <f t="shared" si="2"/>
        <v>105</v>
      </c>
      <c r="G14">
        <f t="shared" si="3"/>
        <v>0.25</v>
      </c>
      <c r="H14">
        <f>IF(协调曲线图!$S$15="是，LCO绘图",IF((k0two/((POWER($A14,alfa02))-1)*(t0two/beta02))&gt;Lco瞬跳時間2,k0two/((POWER($A14,alfa02))-1)*(t0two/beta02),Lco瞬跳時間2)," ")</f>
        <v>0.831454444976364</v>
      </c>
      <c r="I14">
        <f t="shared" si="4"/>
        <v>420</v>
      </c>
      <c r="J14">
        <f t="shared" si="5"/>
        <v>105</v>
      </c>
      <c r="L14">
        <f t="shared" si="6"/>
        <v>0.45</v>
      </c>
      <c r="M14">
        <f>IF(协调曲线图!$S$22="是，LCO绘图",IF((k0three/((POWER($A14,alfa03))-1)*(t0three/beta03))&gt;Lco瞬跳時間3,k0three/((POWER($A14,alfa03))-1)*(t0three/beta03),Lco瞬跳時間3)," ")</f>
        <v>1.0690128578267539</v>
      </c>
      <c r="N14">
        <f t="shared" si="7"/>
        <v>980</v>
      </c>
      <c r="O14">
        <f t="shared" si="8"/>
        <v>105</v>
      </c>
      <c r="Q14">
        <f t="shared" si="9"/>
        <v>0.65</v>
      </c>
      <c r="R14">
        <f>IF(协调曲线图!$S$29="是，LCO绘图",IF((k0four/((POWER($A14,alfa04))-1)*(t0four/beta04))&gt;Lco瞬跳時間4,k0four/((POWER($A14,alfa04))-1)*(t0four/beta04),Lco瞬跳時間4)," ")</f>
        <v>1.3065712706771435</v>
      </c>
      <c r="S14">
        <f t="shared" si="10"/>
        <v>1540</v>
      </c>
      <c r="T14">
        <f t="shared" si="11"/>
        <v>105</v>
      </c>
      <c r="V14">
        <f t="shared" si="12"/>
        <v>0.85</v>
      </c>
      <c r="W14">
        <f>IF(协调曲线图!$S$36="是，LCO绘图",IF((k0five/((POWER($A14,alfa05))-1)*(t0five/beta05))&gt;Lco瞬跳時間5,k0five/((POWER($A14,alfa05))-1)*(t0five/beta05),Lco瞬跳時間5)," ")</f>
        <v>1.5441296835275333</v>
      </c>
      <c r="X14">
        <f t="shared" si="13"/>
        <v>2660</v>
      </c>
      <c r="Y14">
        <f t="shared" si="14"/>
        <v>105</v>
      </c>
      <c r="AA14">
        <f t="shared" si="15"/>
        <v>1.05</v>
      </c>
      <c r="AB14">
        <f>IF(协调曲线图!$S$43="是，LCO绘图",IF((k0six/((POWER($A14,alfa06))-1)*(t0six/beta06))&gt;Lco瞬跳時間6,k0six/((POWER($A14,alfa06))-1)*(t0six/beta06),Lco瞬跳時間6)," ")</f>
        <v>1.9004673028031178</v>
      </c>
      <c r="AC14">
        <f t="shared" si="16"/>
        <v>3500</v>
      </c>
      <c r="AD14">
        <f t="shared" si="17"/>
        <v>210</v>
      </c>
    </row>
    <row r="15" spans="1:30">
      <c r="A15">
        <v>8</v>
      </c>
      <c r="B15">
        <f t="shared" si="0"/>
        <v>0.11100247871315978</v>
      </c>
      <c r="C15">
        <f>IF(协调曲线图!$S$8="是，LCO绘图",IF((k0one/((POWER($A15,alfa01))-1)*(t0one/beta01))&gt;Lco瞬跳時間1,k0one/((POWER($A15,alfa01))-1)*(t0one/beta01),Lco瞬跳時間1)," ")</f>
        <v>0.5550123935657989</v>
      </c>
      <c r="D15">
        <f t="shared" si="1"/>
        <v>256</v>
      </c>
      <c r="E15">
        <f t="shared" si="2"/>
        <v>120</v>
      </c>
      <c r="G15">
        <f t="shared" si="3"/>
        <v>0.25</v>
      </c>
      <c r="H15">
        <f>IF(协调曲线图!$S$15="是，LCO绘图",IF((k0two/((POWER($A15,alfa02))-1)*(t0two/beta02))&gt;Lco瞬跳時間2,k0two/((POWER($A15,alfa02))-1)*(t0two/beta02),Lco瞬跳時間2)," ")</f>
        <v>0.77701735099211844</v>
      </c>
      <c r="I15">
        <f t="shared" si="4"/>
        <v>480</v>
      </c>
      <c r="J15">
        <f t="shared" si="5"/>
        <v>120</v>
      </c>
      <c r="L15">
        <f t="shared" si="6"/>
        <v>0.45</v>
      </c>
      <c r="M15">
        <f>IF(协调曲线图!$S$22="是，LCO绘图",IF((k0three/((POWER($A15,alfa03))-1)*(t0three/beta03))&gt;Lco瞬跳時間3,k0three/((POWER($A15,alfa03))-1)*(t0three/beta03),Lco瞬跳時間3)," ")</f>
        <v>0.99902230841843809</v>
      </c>
      <c r="N15">
        <f t="shared" si="7"/>
        <v>1120</v>
      </c>
      <c r="O15">
        <f t="shared" si="8"/>
        <v>120</v>
      </c>
      <c r="Q15">
        <f t="shared" si="9"/>
        <v>0.65</v>
      </c>
      <c r="R15">
        <f>IF(协调曲线图!$S$29="是，LCO绘图",IF((k0four/((POWER($A15,alfa04))-1)*(t0four/beta04))&gt;Lco瞬跳時間4,k0four/((POWER($A15,alfa04))-1)*(t0four/beta04),Lco瞬跳時間4)," ")</f>
        <v>1.2210272658447576</v>
      </c>
      <c r="S15">
        <f t="shared" si="10"/>
        <v>1760</v>
      </c>
      <c r="T15">
        <f t="shared" si="11"/>
        <v>120</v>
      </c>
      <c r="V15">
        <f t="shared" si="12"/>
        <v>0.85</v>
      </c>
      <c r="W15">
        <f>IF(协调曲线图!$S$36="是，LCO绘图",IF((k0five/((POWER($A15,alfa05))-1)*(t0five/beta05))&gt;Lco瞬跳時間5,k0five/((POWER($A15,alfa05))-1)*(t0five/beta05),Lco瞬跳時間5)," ")</f>
        <v>1.4430322232710773</v>
      </c>
      <c r="X15">
        <f t="shared" si="13"/>
        <v>3000</v>
      </c>
      <c r="Y15">
        <f t="shared" si="14"/>
        <v>120</v>
      </c>
      <c r="AA15">
        <f t="shared" si="15"/>
        <v>1.05</v>
      </c>
      <c r="AB15">
        <f>IF(协调曲线图!$S$43="是，LCO绘图",IF((k0six/((POWER($A15,alfa06))-1)*(t0six/beta06))&gt;Lco瞬跳時間6,k0six/((POWER($A15,alfa06))-1)*(t0six/beta06),Lco瞬跳時間6)," ")</f>
        <v>1.7760396594105565</v>
      </c>
      <c r="AC15">
        <f t="shared" si="16"/>
        <v>4000</v>
      </c>
      <c r="AD15">
        <f t="shared" si="17"/>
        <v>240</v>
      </c>
    </row>
    <row r="16" spans="1:30">
      <c r="A16">
        <v>9</v>
      </c>
      <c r="B16">
        <f t="shared" si="0"/>
        <v>0.10492760816257429</v>
      </c>
      <c r="C16">
        <f>IF(协调曲线图!$S$8="是，LCO绘图",IF((k0one/((POWER($A16,alfa01))-1)*(t0one/beta01))&gt;Lco瞬跳時間1,k0one/((POWER($A16,alfa01))-1)*(t0one/beta01),Lco瞬跳時間1)," ")</f>
        <v>0.52463804081287146</v>
      </c>
      <c r="D16">
        <f t="shared" si="1"/>
        <v>288</v>
      </c>
      <c r="E16">
        <f t="shared" si="2"/>
        <v>135</v>
      </c>
      <c r="G16">
        <f t="shared" si="3"/>
        <v>0.25</v>
      </c>
      <c r="H16">
        <f>IF(协调曲线图!$S$15="是，LCO绘图",IF((k0two/((POWER($A16,alfa02))-1)*(t0two/beta02))&gt;Lco瞬跳時間2,k0two/((POWER($A16,alfa02))-1)*(t0two/beta02),Lco瞬跳時間2)," ")</f>
        <v>0.73449325713802005</v>
      </c>
      <c r="I16">
        <f t="shared" si="4"/>
        <v>540</v>
      </c>
      <c r="J16">
        <f t="shared" si="5"/>
        <v>135</v>
      </c>
      <c r="L16">
        <f t="shared" si="6"/>
        <v>0.45</v>
      </c>
      <c r="M16">
        <f>IF(协调曲线图!$S$22="是，LCO绘图",IF((k0three/((POWER($A16,alfa03))-1)*(t0three/beta03))&gt;Lco瞬跳時間3,k0three/((POWER($A16,alfa03))-1)*(t0three/beta03),Lco瞬跳時間3)," ")</f>
        <v>0.94434847346316864</v>
      </c>
      <c r="N16">
        <f t="shared" si="7"/>
        <v>1260</v>
      </c>
      <c r="O16">
        <f t="shared" si="8"/>
        <v>135</v>
      </c>
      <c r="Q16">
        <f t="shared" si="9"/>
        <v>0.65</v>
      </c>
      <c r="R16">
        <f>IF(协调曲线图!$S$29="是，LCO绘图",IF((k0four/((POWER($A16,alfa04))-1)*(t0four/beta04))&gt;Lco瞬跳時間4,k0four/((POWER($A16,alfa04))-1)*(t0four/beta04),Lco瞬跳時間4)," ")</f>
        <v>1.1542036897883172</v>
      </c>
      <c r="S16">
        <f t="shared" si="10"/>
        <v>1980</v>
      </c>
      <c r="T16">
        <f t="shared" si="11"/>
        <v>135</v>
      </c>
      <c r="V16">
        <f t="shared" si="12"/>
        <v>0.85</v>
      </c>
      <c r="W16">
        <f>IF(协调曲线图!$S$36="是，LCO绘图",IF((k0five/((POWER($A16,alfa05))-1)*(t0five/beta05))&gt;Lco瞬跳時間5,k0five/((POWER($A16,alfa05))-1)*(t0five/beta05),Lco瞬跳時間5)," ")</f>
        <v>1.3640589061134658</v>
      </c>
      <c r="X16">
        <f t="shared" si="13"/>
        <v>3000</v>
      </c>
      <c r="Y16">
        <f t="shared" si="14"/>
        <v>135</v>
      </c>
      <c r="AA16">
        <f t="shared" si="15"/>
        <v>1.05</v>
      </c>
      <c r="AB16">
        <f>IF(协调曲线图!$S$43="是，LCO绘图",IF((k0six/((POWER($A16,alfa06))-1)*(t0six/beta06))&gt;Lco瞬跳時間6,k0six/((POWER($A16,alfa06))-1)*(t0six/beta06),Lco瞬跳時間6)," ")</f>
        <v>1.6788417306011887</v>
      </c>
      <c r="AC16">
        <f t="shared" si="16"/>
        <v>4500</v>
      </c>
      <c r="AD16">
        <f t="shared" si="17"/>
        <v>270</v>
      </c>
    </row>
    <row r="17" spans="1:30">
      <c r="A17">
        <v>10</v>
      </c>
      <c r="B17">
        <f t="shared" si="0"/>
        <v>0.10002015569657964</v>
      </c>
      <c r="C17">
        <f>IF(协调曲线图!$S$8="是，LCO绘图",IF((k0one/((POWER($A17,alfa01))-1)*(t0one/beta01))&gt;Lco瞬跳時間1,k0one/((POWER($A17,alfa01))-1)*(t0one/beta01),Lco瞬跳時間1)," ")</f>
        <v>0.50010077848289813</v>
      </c>
      <c r="D17">
        <f t="shared" si="1"/>
        <v>320</v>
      </c>
      <c r="E17">
        <f t="shared" si="2"/>
        <v>150</v>
      </c>
      <c r="G17">
        <f t="shared" si="3"/>
        <v>0.25</v>
      </c>
      <c r="H17">
        <f>IF(协调曲线图!$S$15="是，LCO绘图",IF((k0two/((POWER($A17,alfa02))-1)*(t0two/beta02))&gt;Lco瞬跳時間2,k0two/((POWER($A17,alfa02))-1)*(t0two/beta02),Lco瞬跳時間2)," ")</f>
        <v>0.7001410898760575</v>
      </c>
      <c r="I17">
        <f t="shared" si="4"/>
        <v>600</v>
      </c>
      <c r="J17">
        <f t="shared" si="5"/>
        <v>150</v>
      </c>
      <c r="L17">
        <f t="shared" si="6"/>
        <v>0.45</v>
      </c>
      <c r="M17">
        <f>IF(协调曲线图!$S$22="是，LCO绘图",IF((k0three/((POWER($A17,alfa03))-1)*(t0three/beta03))&gt;Lco瞬跳時間3,k0three/((POWER($A17,alfa03))-1)*(t0three/beta03),Lco瞬跳時間3)," ")</f>
        <v>0.90018140126921686</v>
      </c>
      <c r="N17">
        <f t="shared" si="7"/>
        <v>1400</v>
      </c>
      <c r="O17">
        <f t="shared" si="8"/>
        <v>150</v>
      </c>
      <c r="Q17">
        <f t="shared" si="9"/>
        <v>0.65</v>
      </c>
      <c r="R17">
        <f>IF(协调曲线图!$S$29="是，LCO绘图",IF((k0four/((POWER($A17,alfa04))-1)*(t0four/beta04))&gt;Lco瞬跳時間4,k0four/((POWER($A17,alfa04))-1)*(t0four/beta04),Lco瞬跳時間4)," ")</f>
        <v>1.1002217126623761</v>
      </c>
      <c r="S17">
        <f t="shared" si="10"/>
        <v>2200</v>
      </c>
      <c r="T17">
        <f t="shared" si="11"/>
        <v>150</v>
      </c>
      <c r="V17">
        <f t="shared" si="12"/>
        <v>0.85</v>
      </c>
      <c r="W17">
        <f>IF(协调曲线图!$S$36="是，LCO绘图",IF((k0five/((POWER($A17,alfa05))-1)*(t0five/beta05))&gt;Lco瞬跳時間5,k0five/((POWER($A17,alfa05))-1)*(t0five/beta05),Lco瞬跳時間5)," ")</f>
        <v>1.3002620240555354</v>
      </c>
      <c r="X17">
        <f t="shared" si="13"/>
        <v>3000</v>
      </c>
      <c r="Y17">
        <f t="shared" si="14"/>
        <v>150</v>
      </c>
      <c r="AA17">
        <f t="shared" si="15"/>
        <v>1.05</v>
      </c>
      <c r="AB17">
        <f>IF(协调曲线图!$S$43="是，LCO绘图",IF((k0six/((POWER($A17,alfa06))-1)*(t0six/beta06))&gt;Lco瞬跳時間6,k0six/((POWER($A17,alfa06))-1)*(t0six/beta06),Lco瞬跳時間6)," ")</f>
        <v>1.6003224911452743</v>
      </c>
      <c r="AC17">
        <f t="shared" si="16"/>
        <v>5000</v>
      </c>
      <c r="AD17">
        <f t="shared" si="17"/>
        <v>300</v>
      </c>
    </row>
    <row r="18" spans="1:30">
      <c r="A18">
        <v>11</v>
      </c>
      <c r="B18">
        <f t="shared" si="0"/>
        <v>9.5952398229643535E-2</v>
      </c>
      <c r="C18">
        <f>IF(协调曲线图!$S$8="是，LCO绘图",IF((k0one/((POWER($A18,alfa01))-1)*(t0one/beta01))&gt;Lco瞬跳時間1,k0one/((POWER($A18,alfa01))-1)*(t0one/beta01),Lco瞬跳時間1)," ")</f>
        <v>0.47976199114821766</v>
      </c>
      <c r="D18">
        <f t="shared" si="1"/>
        <v>352</v>
      </c>
      <c r="E18">
        <f t="shared" si="2"/>
        <v>150</v>
      </c>
      <c r="G18">
        <f t="shared" si="3"/>
        <v>0.25</v>
      </c>
      <c r="H18">
        <f>IF(协调曲线图!$S$15="是，LCO绘图",IF((k0two/((POWER($A18,alfa02))-1)*(t0two/beta02))&gt;Lco瞬跳時間2,k0two/((POWER($A18,alfa02))-1)*(t0two/beta02),Lco瞬跳時間2)," ")</f>
        <v>0.67166678760750476</v>
      </c>
      <c r="I18">
        <f t="shared" si="4"/>
        <v>660</v>
      </c>
      <c r="J18">
        <f t="shared" si="5"/>
        <v>150</v>
      </c>
      <c r="L18">
        <f t="shared" si="6"/>
        <v>0.45</v>
      </c>
      <c r="M18">
        <f>IF(协调曲线图!$S$22="是，LCO绘图",IF((k0three/((POWER($A18,alfa03))-1)*(t0three/beta03))&gt;Lco瞬跳時間3,k0three/((POWER($A18,alfa03))-1)*(t0three/beta03),Lco瞬跳時間3)," ")</f>
        <v>0.86357158406679191</v>
      </c>
      <c r="N18">
        <f t="shared" si="7"/>
        <v>1540</v>
      </c>
      <c r="O18">
        <f t="shared" si="8"/>
        <v>150</v>
      </c>
      <c r="Q18">
        <f t="shared" si="9"/>
        <v>0.65</v>
      </c>
      <c r="R18">
        <f>IF(协调曲线图!$S$29="是，LCO绘图",IF((k0four/((POWER($A18,alfa04))-1)*(t0four/beta04))&gt;Lco瞬跳時間4,k0four/((POWER($A18,alfa04))-1)*(t0four/beta04),Lco瞬跳時間4)," ")</f>
        <v>1.0554763805260789</v>
      </c>
      <c r="S18">
        <f t="shared" si="10"/>
        <v>2420</v>
      </c>
      <c r="T18">
        <f t="shared" si="11"/>
        <v>150</v>
      </c>
      <c r="V18">
        <f t="shared" si="12"/>
        <v>0.85</v>
      </c>
      <c r="W18">
        <f>IF(协调曲线图!$S$36="是，LCO绘图",IF((k0five/((POWER($A18,alfa05))-1)*(t0five/beta05))&gt;Lco瞬跳時間5,k0five/((POWER($A18,alfa05))-1)*(t0five/beta05),Lco瞬跳時間5)," ")</f>
        <v>1.247381176985366</v>
      </c>
      <c r="X18">
        <f t="shared" si="13"/>
        <v>3000</v>
      </c>
      <c r="Y18">
        <f t="shared" si="14"/>
        <v>150</v>
      </c>
      <c r="AA18">
        <f t="shared" si="15"/>
        <v>1.05</v>
      </c>
      <c r="AB18">
        <f>IF(协调曲线图!$S$43="是，LCO绘图",IF((k0six/((POWER($A18,alfa06))-1)*(t0six/beta06))&gt;Lco瞬跳時間6,k0six/((POWER($A18,alfa06))-1)*(t0six/beta06),Lco瞬跳時間6)," ")</f>
        <v>1.5352383716742966</v>
      </c>
      <c r="AC18">
        <f t="shared" si="16"/>
        <v>5000</v>
      </c>
      <c r="AD18">
        <f t="shared" si="17"/>
        <v>300</v>
      </c>
    </row>
    <row r="19" spans="1:30">
      <c r="A19">
        <v>12</v>
      </c>
      <c r="B19">
        <f t="shared" si="0"/>
        <v>9.2511347419459405E-2</v>
      </c>
      <c r="C19">
        <f>IF(协调曲线图!$S$8="是，LCO绘图",IF((k0one/((POWER($A19,alfa01))-1)*(t0one/beta01))&gt;Lco瞬跳時間1,k0one/((POWER($A19,alfa01))-1)*(t0one/beta01),Lco瞬跳時間1)," ")</f>
        <v>0.46255673709729694</v>
      </c>
      <c r="D19">
        <f t="shared" si="1"/>
        <v>384</v>
      </c>
      <c r="E19">
        <f t="shared" si="2"/>
        <v>150</v>
      </c>
      <c r="G19">
        <f t="shared" si="3"/>
        <v>0.25</v>
      </c>
      <c r="H19">
        <f>IF(协调曲线图!$S$15="是，LCO绘图",IF((k0two/((POWER($A19,alfa02))-1)*(t0two/beta02))&gt;Lco瞬跳時間2,k0two/((POWER($A19,alfa02))-1)*(t0two/beta02),Lco瞬跳時間2)," ")</f>
        <v>0.64757943193621581</v>
      </c>
      <c r="I19">
        <f t="shared" si="4"/>
        <v>720</v>
      </c>
      <c r="J19">
        <f t="shared" si="5"/>
        <v>150</v>
      </c>
      <c r="L19">
        <f t="shared" si="6"/>
        <v>0.45</v>
      </c>
      <c r="M19">
        <f>IF(协调曲线图!$S$22="是，LCO绘图",IF((k0three/((POWER($A19,alfa03))-1)*(t0three/beta03))&gt;Lco瞬跳時間3,k0three/((POWER($A19,alfa03))-1)*(t0three/beta03),Lco瞬跳時間3)," ")</f>
        <v>0.83260212677513468</v>
      </c>
      <c r="N19">
        <f t="shared" si="7"/>
        <v>1680</v>
      </c>
      <c r="O19">
        <f t="shared" si="8"/>
        <v>150</v>
      </c>
      <c r="Q19">
        <f t="shared" si="9"/>
        <v>0.65</v>
      </c>
      <c r="R19">
        <f>IF(协调曲线图!$S$29="是，LCO绘图",IF((k0four/((POWER($A19,alfa04))-1)*(t0four/beta04))&gt;Lco瞬跳時間4,k0four/((POWER($A19,alfa04))-1)*(t0four/beta04),Lco瞬跳時間4)," ")</f>
        <v>1.0176248216140533</v>
      </c>
      <c r="S19">
        <f t="shared" si="10"/>
        <v>2500</v>
      </c>
      <c r="T19">
        <f t="shared" si="11"/>
        <v>150</v>
      </c>
      <c r="V19">
        <f t="shared" si="12"/>
        <v>0.85</v>
      </c>
      <c r="W19">
        <f>IF(协调曲线图!$S$36="是，LCO绘图",IF((k0five/((POWER($A19,alfa05))-1)*(t0five/beta05))&gt;Lco瞬跳時間5,k0five/((POWER($A19,alfa05))-1)*(t0five/beta05),Lco瞬跳時間5)," ")</f>
        <v>1.2026475164529722</v>
      </c>
      <c r="X19">
        <f t="shared" si="13"/>
        <v>3000</v>
      </c>
      <c r="Y19">
        <f t="shared" si="14"/>
        <v>150</v>
      </c>
      <c r="AA19">
        <f t="shared" si="15"/>
        <v>1.05</v>
      </c>
      <c r="AB19">
        <f>IF(协调曲线图!$S$43="是，LCO绘图",IF((k0six/((POWER($A19,alfa06))-1)*(t0six/beta06))&gt;Lco瞬跳時間6,k0six/((POWER($A19,alfa06))-1)*(t0six/beta06),Lco瞬跳時間6)," ")</f>
        <v>1.4801815587113505</v>
      </c>
      <c r="AC19">
        <f t="shared" si="16"/>
        <v>5000</v>
      </c>
      <c r="AD19">
        <f t="shared" si="17"/>
        <v>300</v>
      </c>
    </row>
    <row r="20" spans="1:30">
      <c r="A20">
        <v>13</v>
      </c>
      <c r="B20">
        <f t="shared" si="0"/>
        <v>8.9552093558736084E-2</v>
      </c>
      <c r="C20">
        <f>IF(协调曲线图!$S$8="是，LCO绘图",IF((k0one/((POWER($A20,alfa01))-1)*(t0one/beta01))&gt;Lco瞬跳時間1,k0one/((POWER($A20,alfa01))-1)*(t0one/beta01),Lco瞬跳時間1)," ")</f>
        <v>0.44776046779368039</v>
      </c>
      <c r="D20">
        <f t="shared" si="1"/>
        <v>416</v>
      </c>
      <c r="E20">
        <f t="shared" si="2"/>
        <v>150</v>
      </c>
      <c r="G20">
        <f t="shared" si="3"/>
        <v>0.25</v>
      </c>
      <c r="H20">
        <f>IF(协调曲线图!$S$15="是，LCO绘图",IF((k0two/((POWER($A20,alfa02))-1)*(t0two/beta02))&gt;Lco瞬跳時間2,k0two/((POWER($A20,alfa02))-1)*(t0two/beta02),Lco瞬跳時間2)," ")</f>
        <v>0.62686465491115262</v>
      </c>
      <c r="I20">
        <f t="shared" si="4"/>
        <v>780</v>
      </c>
      <c r="J20">
        <f t="shared" si="5"/>
        <v>150</v>
      </c>
      <c r="L20">
        <f t="shared" si="6"/>
        <v>0.45</v>
      </c>
      <c r="M20">
        <f>IF(协调曲线图!$S$22="是，LCO绘图",IF((k0three/((POWER($A20,alfa03))-1)*(t0three/beta03))&gt;Lco瞬跳時間3,k0three/((POWER($A20,alfa03))-1)*(t0three/beta03),Lco瞬跳時間3)," ")</f>
        <v>0.80596884202862484</v>
      </c>
      <c r="N20">
        <f t="shared" si="7"/>
        <v>1820</v>
      </c>
      <c r="O20">
        <f t="shared" si="8"/>
        <v>150</v>
      </c>
      <c r="Q20">
        <f t="shared" si="9"/>
        <v>0.65</v>
      </c>
      <c r="R20">
        <f>IF(协调曲线图!$S$29="是，LCO绘图",IF((k0four/((POWER($A20,alfa04))-1)*(t0four/beta04))&gt;Lco瞬跳時間4,k0four/((POWER($A20,alfa04))-1)*(t0four/beta04),Lco瞬跳時間4)," ")</f>
        <v>0.98507302914609696</v>
      </c>
      <c r="S20">
        <f t="shared" si="10"/>
        <v>2500</v>
      </c>
      <c r="T20">
        <f t="shared" si="11"/>
        <v>150</v>
      </c>
      <c r="V20">
        <f t="shared" si="12"/>
        <v>0.85</v>
      </c>
      <c r="W20">
        <f>IF(协调曲线图!$S$36="是，LCO绘图",IF((k0five/((POWER($A20,alfa05))-1)*(t0five/beta05))&gt;Lco瞬跳時間5,k0five/((POWER($A20,alfa05))-1)*(t0five/beta05),Lco瞬跳時間5)," ")</f>
        <v>1.1641772162635693</v>
      </c>
      <c r="X20">
        <f t="shared" si="13"/>
        <v>3000</v>
      </c>
      <c r="Y20">
        <f t="shared" si="14"/>
        <v>150</v>
      </c>
      <c r="AA20">
        <f t="shared" si="15"/>
        <v>1.05</v>
      </c>
      <c r="AB20">
        <f>IF(协调曲线图!$S$43="是，LCO绘图",IF((k0six/((POWER($A20,alfa06))-1)*(t0six/beta06))&gt;Lco瞬跳時間6,k0six/((POWER($A20,alfa06))-1)*(t0six/beta06),Lco瞬跳時間6)," ")</f>
        <v>1.4328334969397774</v>
      </c>
      <c r="AC20">
        <f t="shared" si="16"/>
        <v>5000</v>
      </c>
      <c r="AD20">
        <f t="shared" si="17"/>
        <v>300</v>
      </c>
    </row>
    <row r="21" spans="1:30">
      <c r="A21">
        <v>14</v>
      </c>
      <c r="B21">
        <f t="shared" si="0"/>
        <v>8.6972324016294983E-2</v>
      </c>
      <c r="C21">
        <f>IF(协调曲线图!$S$8="是，LCO绘图",IF((k0one/((POWER($A21,alfa01))-1)*(t0one/beta01))&gt;Lco瞬跳時間1,k0one/((POWER($A21,alfa01))-1)*(t0one/beta01),Lco瞬跳時間1)," ")</f>
        <v>0.43486162008147489</v>
      </c>
      <c r="D21">
        <f t="shared" si="1"/>
        <v>448</v>
      </c>
      <c r="E21">
        <f t="shared" si="2"/>
        <v>150</v>
      </c>
      <c r="G21">
        <f t="shared" si="3"/>
        <v>0.25</v>
      </c>
      <c r="H21">
        <f>IF(协调曲线图!$S$15="是，LCO绘图",IF((k0two/((POWER($A21,alfa02))-1)*(t0two/beta02))&gt;Lco瞬跳時間2,k0two/((POWER($A21,alfa02))-1)*(t0two/beta02),Lco瞬跳時間2)," ")</f>
        <v>0.6088062681140648</v>
      </c>
      <c r="I21">
        <f t="shared" si="4"/>
        <v>840</v>
      </c>
      <c r="J21">
        <f t="shared" si="5"/>
        <v>150</v>
      </c>
      <c r="L21">
        <f t="shared" si="6"/>
        <v>0.45</v>
      </c>
      <c r="M21">
        <f>IF(协调曲线图!$S$22="是，LCO绘图",IF((k0three/((POWER($A21,alfa03))-1)*(t0three/beta03))&gt;Lco瞬跳時間3,k0three/((POWER($A21,alfa03))-1)*(t0three/beta03),Lco瞬跳時間3)," ")</f>
        <v>0.78275091614665482</v>
      </c>
      <c r="N21">
        <f t="shared" si="7"/>
        <v>1960</v>
      </c>
      <c r="O21">
        <f t="shared" si="8"/>
        <v>150</v>
      </c>
      <c r="Q21">
        <f t="shared" si="9"/>
        <v>0.65</v>
      </c>
      <c r="R21">
        <f>IF(协调曲线图!$S$29="是，LCO绘图",IF((k0four/((POWER($A21,alfa04))-1)*(t0four/beta04))&gt;Lco瞬跳時間4,k0four/((POWER($A21,alfa04))-1)*(t0four/beta04),Lco瞬跳時間4)," ")</f>
        <v>0.95669556417924473</v>
      </c>
      <c r="S21">
        <f t="shared" si="10"/>
        <v>2500</v>
      </c>
      <c r="T21">
        <f t="shared" si="11"/>
        <v>150</v>
      </c>
      <c r="V21">
        <f t="shared" si="12"/>
        <v>0.85</v>
      </c>
      <c r="W21">
        <f>IF(协调曲线图!$S$36="是，LCO绘图",IF((k0five/((POWER($A21,alfa05))-1)*(t0five/beta05))&gt;Lco瞬跳時間5,k0five/((POWER($A21,alfa05))-1)*(t0five/beta05),Lco瞬跳時間5)," ")</f>
        <v>1.1306402122118349</v>
      </c>
      <c r="X21">
        <f t="shared" si="13"/>
        <v>3000</v>
      </c>
      <c r="Y21">
        <f t="shared" si="14"/>
        <v>150</v>
      </c>
      <c r="AA21">
        <f t="shared" si="15"/>
        <v>1.05</v>
      </c>
      <c r="AB21">
        <f>IF(协调曲线图!$S$43="是，LCO绘图",IF((k0six/((POWER($A21,alfa06))-1)*(t0six/beta06))&gt;Lco瞬跳時間6,k0six/((POWER($A21,alfa06))-1)*(t0six/beta06),Lco瞬跳時間6)," ")</f>
        <v>1.3915571842607197</v>
      </c>
      <c r="AC21">
        <f t="shared" si="16"/>
        <v>5000</v>
      </c>
      <c r="AD21">
        <f t="shared" si="17"/>
        <v>300</v>
      </c>
    </row>
    <row r="22" spans="1:30">
      <c r="A22">
        <v>15</v>
      </c>
      <c r="B22">
        <f t="shared" si="0"/>
        <v>8.4697557541135338E-2</v>
      </c>
      <c r="C22">
        <f>IF(协调曲线图!$S$8="是，LCO绘图",IF((k0one/((POWER($A22,alfa01))-1)*(t0one/beta01))&gt;Lco瞬跳時間1,k0one/((POWER($A22,alfa01))-1)*(t0one/beta01),Lco瞬跳時間1)," ")</f>
        <v>0.42348778770567669</v>
      </c>
      <c r="D22">
        <f t="shared" si="1"/>
        <v>480</v>
      </c>
      <c r="E22">
        <f t="shared" si="2"/>
        <v>150</v>
      </c>
      <c r="G22">
        <f t="shared" si="3"/>
        <v>0.25</v>
      </c>
      <c r="H22">
        <f>IF(协调曲线图!$S$15="是，LCO绘图",IF((k0two/((POWER($A22,alfa02))-1)*(t0two/beta02))&gt;Lco瞬跳時間2,k0two/((POWER($A22,alfa02))-1)*(t0two/beta02),Lco瞬跳時間2)," ")</f>
        <v>0.59288290278794742</v>
      </c>
      <c r="I22">
        <f t="shared" si="4"/>
        <v>900</v>
      </c>
      <c r="J22">
        <f t="shared" si="5"/>
        <v>150</v>
      </c>
      <c r="L22">
        <f t="shared" si="6"/>
        <v>0.45</v>
      </c>
      <c r="M22">
        <f>IF(协调曲线图!$S$22="是，LCO绘图",IF((k0three/((POWER($A22,alfa03))-1)*(t0three/beta03))&gt;Lco瞬跳時間3,k0three/((POWER($A22,alfa03))-1)*(t0three/beta03),Lco瞬跳時間3)," ")</f>
        <v>0.76227801787021809</v>
      </c>
      <c r="N22">
        <f t="shared" si="7"/>
        <v>2000</v>
      </c>
      <c r="O22">
        <f t="shared" si="8"/>
        <v>150</v>
      </c>
      <c r="Q22">
        <f t="shared" si="9"/>
        <v>0.65</v>
      </c>
      <c r="R22">
        <f>IF(协调曲线图!$S$29="是，LCO绘图",IF((k0four/((POWER($A22,alfa04))-1)*(t0four/beta04))&gt;Lco瞬跳時間4,k0four/((POWER($A22,alfa04))-1)*(t0four/beta04),Lco瞬跳時間4)," ")</f>
        <v>0.93167313295248877</v>
      </c>
      <c r="S22">
        <f t="shared" si="10"/>
        <v>2500</v>
      </c>
      <c r="T22">
        <f t="shared" si="11"/>
        <v>150</v>
      </c>
      <c r="V22">
        <f t="shared" si="12"/>
        <v>0.85</v>
      </c>
      <c r="W22">
        <f>IF(协调曲线图!$S$36="是，LCO绘图",IF((k0five/((POWER($A22,alfa05))-1)*(t0five/beta05))&gt;Lco瞬跳時間5,k0five/((POWER($A22,alfa05))-1)*(t0five/beta05),Lco瞬跳時間5)," ")</f>
        <v>1.1010682480347596</v>
      </c>
      <c r="X22">
        <f t="shared" si="13"/>
        <v>3000</v>
      </c>
      <c r="Y22">
        <f t="shared" si="14"/>
        <v>150</v>
      </c>
      <c r="AA22">
        <f t="shared" si="15"/>
        <v>1.05</v>
      </c>
      <c r="AB22">
        <f>IF(协调曲线图!$S$43="是，LCO绘图",IF((k0six/((POWER($A22,alfa06))-1)*(t0six/beta06))&gt;Lco瞬跳時間6,k0six/((POWER($A22,alfa06))-1)*(t0six/beta06),Lco瞬跳時間6)," ")</f>
        <v>1.3551609206581654</v>
      </c>
      <c r="AC22">
        <f t="shared" si="16"/>
        <v>5000</v>
      </c>
      <c r="AD22">
        <f t="shared" si="17"/>
        <v>300</v>
      </c>
    </row>
    <row r="23" spans="1:30">
      <c r="A23">
        <v>16</v>
      </c>
      <c r="B23">
        <f t="shared" si="0"/>
        <v>8.2672162483912001E-2</v>
      </c>
      <c r="C23">
        <f>IF(协调曲线图!$S$8="是，LCO绘图",IF((k0one/((POWER($A23,alfa01))-1)*(t0one/beta01))&gt;Lco瞬跳時間1,k0one/((POWER($A23,alfa01))-1)*(t0one/beta01),Lco瞬跳時間1)," ")</f>
        <v>0.41336081241955996</v>
      </c>
      <c r="D23">
        <f t="shared" si="1"/>
        <v>512</v>
      </c>
      <c r="E23">
        <f t="shared" si="2"/>
        <v>150</v>
      </c>
      <c r="G23">
        <f t="shared" si="3"/>
        <v>0.25</v>
      </c>
      <c r="H23">
        <f>IF(协调曲线图!$S$15="是，LCO绘图",IF((k0two/((POWER($A23,alfa02))-1)*(t0two/beta02))&gt;Lco瞬跳時間2,k0two/((POWER($A23,alfa02))-1)*(t0two/beta02),Lco瞬跳時間2)," ")</f>
        <v>0.57870513738738394</v>
      </c>
      <c r="I23">
        <f t="shared" si="4"/>
        <v>960</v>
      </c>
      <c r="J23">
        <f t="shared" si="5"/>
        <v>150</v>
      </c>
      <c r="L23">
        <f t="shared" si="6"/>
        <v>0.45</v>
      </c>
      <c r="M23">
        <f>IF(协调曲线图!$S$22="是，LCO绘图",IF((k0three/((POWER($A23,alfa03))-1)*(t0three/beta03))&gt;Lco瞬跳時間3,k0three/((POWER($A23,alfa03))-1)*(t0three/beta03),Lco瞬跳時間3)," ")</f>
        <v>0.74404946235520808</v>
      </c>
      <c r="N23">
        <f t="shared" si="7"/>
        <v>2000</v>
      </c>
      <c r="O23">
        <f t="shared" si="8"/>
        <v>150</v>
      </c>
      <c r="Q23">
        <f t="shared" si="9"/>
        <v>0.65</v>
      </c>
      <c r="R23">
        <f>IF(协调曲线图!$S$29="是，LCO绘图",IF((k0four/((POWER($A23,alfa04))-1)*(t0four/beta04))&gt;Lco瞬跳時間4,k0four/((POWER($A23,alfa04))-1)*(t0four/beta04),Lco瞬跳時間4)," ")</f>
        <v>0.909393787323032</v>
      </c>
      <c r="S23">
        <f t="shared" si="10"/>
        <v>2500</v>
      </c>
      <c r="T23">
        <f t="shared" si="11"/>
        <v>150</v>
      </c>
      <c r="V23">
        <f t="shared" si="12"/>
        <v>0.85</v>
      </c>
      <c r="W23">
        <f>IF(协调曲线图!$S$36="是，LCO绘图",IF((k0five/((POWER($A23,alfa05))-1)*(t0five/beta05))&gt;Lco瞬跳時間5,k0five/((POWER($A23,alfa05))-1)*(t0five/beta05),Lco瞬跳時間5)," ")</f>
        <v>1.0747381122908561</v>
      </c>
      <c r="X23">
        <f t="shared" si="13"/>
        <v>3000</v>
      </c>
      <c r="Y23">
        <f t="shared" si="14"/>
        <v>150</v>
      </c>
      <c r="AA23">
        <f t="shared" si="15"/>
        <v>1.05</v>
      </c>
      <c r="AB23">
        <f>IF(协调曲线图!$S$43="是，LCO绘图",IF((k0six/((POWER($A23,alfa06))-1)*(t0six/beta06))&gt;Lco瞬跳時間6,k0six/((POWER($A23,alfa06))-1)*(t0six/beta06),Lco瞬跳時間6)," ")</f>
        <v>1.322754599742592</v>
      </c>
      <c r="AC23">
        <f t="shared" si="16"/>
        <v>5000</v>
      </c>
      <c r="AD23">
        <f t="shared" si="17"/>
        <v>300</v>
      </c>
    </row>
    <row r="24" spans="1:30">
      <c r="A24">
        <v>17</v>
      </c>
      <c r="B24">
        <f t="shared" si="0"/>
        <v>8.0853667164728957E-2</v>
      </c>
      <c r="C24">
        <f>IF(协调曲线图!$S$8="是，LCO绘图",IF((k0one/((POWER($A24,alfa01))-1)*(t0one/beta01))&gt;Lco瞬跳時間1,k0one/((POWER($A24,alfa01))-1)*(t0one/beta01),Lco瞬跳時間1)," ")</f>
        <v>0.40426833582364474</v>
      </c>
      <c r="D24">
        <f t="shared" si="1"/>
        <v>544</v>
      </c>
      <c r="E24">
        <f t="shared" si="2"/>
        <v>150</v>
      </c>
      <c r="G24">
        <f t="shared" si="3"/>
        <v>0.25</v>
      </c>
      <c r="H24">
        <f>IF(协调曲线图!$S$15="是，LCO绘图",IF((k0two/((POWER($A24,alfa02))-1)*(t0two/beta02))&gt;Lco瞬跳時間2,k0two/((POWER($A24,alfa02))-1)*(t0two/beta02),Lco瞬跳時間2)," ")</f>
        <v>0.56597567015310268</v>
      </c>
      <c r="I24">
        <f t="shared" si="4"/>
        <v>1020</v>
      </c>
      <c r="J24">
        <f t="shared" si="5"/>
        <v>150</v>
      </c>
      <c r="L24">
        <f t="shared" si="6"/>
        <v>0.45</v>
      </c>
      <c r="M24">
        <f>IF(协调曲线图!$S$22="是，LCO绘图",IF((k0three/((POWER($A24,alfa03))-1)*(t0three/beta03))&gt;Lco瞬跳時間3,k0three/((POWER($A24,alfa03))-1)*(t0three/beta03),Lco瞬跳時間3)," ")</f>
        <v>0.72768300448256062</v>
      </c>
      <c r="N24">
        <f t="shared" si="7"/>
        <v>2000</v>
      </c>
      <c r="O24">
        <f t="shared" si="8"/>
        <v>150</v>
      </c>
      <c r="Q24">
        <f t="shared" si="9"/>
        <v>0.65</v>
      </c>
      <c r="R24">
        <f>IF(协调曲线图!$S$29="是，LCO绘图",IF((k0four/((POWER($A24,alfa04))-1)*(t0four/beta04))&gt;Lco瞬跳時間4,k0four/((POWER($A24,alfa04))-1)*(t0four/beta04),Lco瞬跳時間4)," ")</f>
        <v>0.88939033881201845</v>
      </c>
      <c r="S24">
        <f t="shared" si="10"/>
        <v>2500</v>
      </c>
      <c r="T24">
        <f t="shared" si="11"/>
        <v>150</v>
      </c>
      <c r="V24">
        <f t="shared" si="12"/>
        <v>0.85</v>
      </c>
      <c r="W24">
        <f>IF(协调曲线图!$S$36="是，LCO绘图",IF((k0five/((POWER($A24,alfa05))-1)*(t0five/beta05))&gt;Lco瞬跳時間5,k0five/((POWER($A24,alfa05))-1)*(t0five/beta05),Lco瞬跳時間5)," ")</f>
        <v>1.0510976731414765</v>
      </c>
      <c r="X24">
        <f t="shared" si="13"/>
        <v>3000</v>
      </c>
      <c r="Y24">
        <f t="shared" si="14"/>
        <v>150</v>
      </c>
      <c r="AA24">
        <f t="shared" si="15"/>
        <v>1.05</v>
      </c>
      <c r="AB24">
        <f>IF(协调曲线图!$S$43="是，LCO绘图",IF((k0six/((POWER($A24,alfa06))-1)*(t0six/beta06))&gt;Lco瞬跳時間6,k0six/((POWER($A24,alfa06))-1)*(t0six/beta06),Lco瞬跳時間6)," ")</f>
        <v>1.2936586746356633</v>
      </c>
      <c r="AC24">
        <f t="shared" si="16"/>
        <v>5000</v>
      </c>
      <c r="AD24">
        <f t="shared" si="17"/>
        <v>300</v>
      </c>
    </row>
    <row r="25" spans="1:30">
      <c r="A25">
        <v>18</v>
      </c>
      <c r="B25">
        <f t="shared" si="0"/>
        <v>7.9209029506611517E-2</v>
      </c>
      <c r="C25">
        <f>IF(协调曲线图!$S$8="是，LCO绘图",IF((k0one/((POWER($A25,alfa01))-1)*(t0one/beta01))&gt;Lco瞬跳時間1,k0one/((POWER($A25,alfa01))-1)*(t0one/beta01),Lco瞬跳時間1)," ")</f>
        <v>0.39604514753305758</v>
      </c>
      <c r="D25">
        <f t="shared" si="1"/>
        <v>576</v>
      </c>
      <c r="E25">
        <f t="shared" si="2"/>
        <v>150</v>
      </c>
      <c r="G25">
        <f t="shared" si="3"/>
        <v>0.25</v>
      </c>
      <c r="H25">
        <f>IF(协调曲线图!$S$15="是，LCO绘图",IF((k0two/((POWER($A25,alfa02))-1)*(t0two/beta02))&gt;Lco瞬跳時間2,k0two/((POWER($A25,alfa02))-1)*(t0two/beta02),Lco瞬跳時間2)," ")</f>
        <v>0.55446320654628056</v>
      </c>
      <c r="I25">
        <f t="shared" si="4"/>
        <v>1080</v>
      </c>
      <c r="J25">
        <f t="shared" si="5"/>
        <v>150</v>
      </c>
      <c r="L25">
        <f t="shared" si="6"/>
        <v>0.45</v>
      </c>
      <c r="M25">
        <f>IF(协调曲线图!$S$22="是，LCO绘图",IF((k0three/((POWER($A25,alfa03))-1)*(t0three/beta03))&gt;Lco瞬跳時間3,k0three/((POWER($A25,alfa03))-1)*(t0three/beta03),Lco瞬跳時間3)," ")</f>
        <v>0.71288126555950371</v>
      </c>
      <c r="N25">
        <f t="shared" si="7"/>
        <v>2000</v>
      </c>
      <c r="O25">
        <f t="shared" si="8"/>
        <v>150</v>
      </c>
      <c r="Q25">
        <f t="shared" si="9"/>
        <v>0.65</v>
      </c>
      <c r="R25">
        <f>IF(协调曲线图!$S$29="是，LCO绘图",IF((k0four/((POWER($A25,alfa04))-1)*(t0four/beta04))&gt;Lco瞬跳時間4,k0four/((POWER($A25,alfa04))-1)*(t0four/beta04),Lco瞬跳時間4)," ")</f>
        <v>0.87129932457272674</v>
      </c>
      <c r="S25">
        <f t="shared" si="10"/>
        <v>2500</v>
      </c>
      <c r="T25">
        <f t="shared" si="11"/>
        <v>150</v>
      </c>
      <c r="V25">
        <f t="shared" si="12"/>
        <v>0.85</v>
      </c>
      <c r="W25">
        <f>IF(协调曲线图!$S$36="是，LCO绘图",IF((k0five/((POWER($A25,alfa05))-1)*(t0five/beta05))&gt;Lco瞬跳時間5,k0five/((POWER($A25,alfa05))-1)*(t0five/beta05),Lco瞬跳時間5)," ")</f>
        <v>1.0297173835859499</v>
      </c>
      <c r="X25">
        <f t="shared" si="13"/>
        <v>3000</v>
      </c>
      <c r="Y25">
        <f t="shared" si="14"/>
        <v>150</v>
      </c>
      <c r="AA25">
        <f t="shared" si="15"/>
        <v>1.05</v>
      </c>
      <c r="AB25">
        <f>IF(协调曲线图!$S$43="是，LCO绘图",IF((k0six/((POWER($A25,alfa06))-1)*(t0six/beta06))&gt;Lco瞬跳時間6,k0six/((POWER($A25,alfa06))-1)*(t0six/beta06),Lco瞬跳時間6)," ")</f>
        <v>1.2673444721057843</v>
      </c>
      <c r="AC25">
        <f t="shared" si="16"/>
        <v>5000</v>
      </c>
      <c r="AD25">
        <f t="shared" si="17"/>
        <v>300</v>
      </c>
    </row>
    <row r="26" spans="1:30">
      <c r="A26">
        <v>19</v>
      </c>
      <c r="B26">
        <f t="shared" si="0"/>
        <v>7.771211782227111E-2</v>
      </c>
      <c r="C26">
        <f>IF(协调曲线图!$S$8="是，LCO绘图",IF((k0one/((POWER($A26,alfa01))-1)*(t0one/beta01))&gt;Lco瞬跳時間1,k0one/((POWER($A26,alfa01))-1)*(t0one/beta01),Lco瞬跳時間1)," ")</f>
        <v>0.38856058911135549</v>
      </c>
      <c r="D26">
        <f t="shared" si="1"/>
        <v>608</v>
      </c>
      <c r="E26">
        <f t="shared" si="2"/>
        <v>150</v>
      </c>
      <c r="G26">
        <f t="shared" si="3"/>
        <v>0.25</v>
      </c>
      <c r="H26">
        <f>IF(协调曲线图!$S$15="是，LCO绘图",IF((k0two/((POWER($A26,alfa02))-1)*(t0two/beta02))&gt;Lco瞬跳時間2,k0two/((POWER($A26,alfa02))-1)*(t0two/beta02),Lco瞬跳時間2)," ")</f>
        <v>0.54398482475589771</v>
      </c>
      <c r="I26">
        <f t="shared" si="4"/>
        <v>1140</v>
      </c>
      <c r="J26">
        <f t="shared" si="5"/>
        <v>150</v>
      </c>
      <c r="L26">
        <f t="shared" si="6"/>
        <v>0.45</v>
      </c>
      <c r="M26">
        <f>IF(协调曲线图!$S$22="是，LCO绘图",IF((k0three/((POWER($A26,alfa03))-1)*(t0three/beta03))&gt;Lco瞬跳時間3,k0three/((POWER($A26,alfa03))-1)*(t0three/beta03),Lco瞬跳時間3)," ")</f>
        <v>0.69940906040044004</v>
      </c>
      <c r="N26">
        <f t="shared" si="7"/>
        <v>2000</v>
      </c>
      <c r="O26">
        <f t="shared" si="8"/>
        <v>150</v>
      </c>
      <c r="Q26">
        <f t="shared" si="9"/>
        <v>0.65</v>
      </c>
      <c r="R26">
        <f>IF(协调曲线图!$S$29="是，LCO绘图",IF((k0four/((POWER($A26,alfa04))-1)*(t0four/beta04))&gt;Lco瞬跳時間4,k0four/((POWER($A26,alfa04))-1)*(t0four/beta04),Lco瞬跳時間4)," ")</f>
        <v>0.85483329604498215</v>
      </c>
      <c r="S26">
        <f t="shared" si="10"/>
        <v>2500</v>
      </c>
      <c r="T26">
        <f t="shared" si="11"/>
        <v>150</v>
      </c>
      <c r="V26">
        <f t="shared" si="12"/>
        <v>0.85</v>
      </c>
      <c r="W26">
        <f>IF(协调曲线图!$S$36="是，LCO绘图",IF((k0five/((POWER($A26,alfa05))-1)*(t0five/beta05))&gt;Lco瞬跳時間5,k0five/((POWER($A26,alfa05))-1)*(t0five/beta05),Lco瞬跳時間5)," ")</f>
        <v>1.0102575316895244</v>
      </c>
      <c r="X26">
        <f t="shared" si="13"/>
        <v>3000</v>
      </c>
      <c r="Y26">
        <f t="shared" si="14"/>
        <v>150</v>
      </c>
      <c r="AA26">
        <f t="shared" si="15"/>
        <v>1.05</v>
      </c>
      <c r="AB26">
        <f>IF(协调曲线图!$S$43="是，LCO绘图",IF((k0six/((POWER($A26,alfa06))-1)*(t0six/beta06))&gt;Lco瞬跳時間6,k0six/((POWER($A26,alfa06))-1)*(t0six/beta06),Lco瞬跳時間6)," ")</f>
        <v>1.2433938851563378</v>
      </c>
      <c r="AC26">
        <f t="shared" si="16"/>
        <v>5000</v>
      </c>
      <c r="AD26">
        <f t="shared" si="17"/>
        <v>300</v>
      </c>
    </row>
    <row r="27" spans="1:30">
      <c r="A27">
        <v>20</v>
      </c>
      <c r="B27">
        <f t="shared" si="0"/>
        <v>7.6341965227173889E-2</v>
      </c>
      <c r="C27">
        <f>IF(协调曲线图!$S$8="是，LCO绘图",IF((k0one/((POWER($A27,alfa01))-1)*(t0one/beta01))&gt;Lco瞬跳時間1,k0one/((POWER($A27,alfa01))-1)*(t0one/beta01),Lco瞬跳時間1)," ")</f>
        <v>0.38170982613586946</v>
      </c>
      <c r="D27">
        <f t="shared" si="1"/>
        <v>640</v>
      </c>
      <c r="E27">
        <f t="shared" si="2"/>
        <v>150</v>
      </c>
      <c r="G27">
        <f t="shared" si="3"/>
        <v>0.25</v>
      </c>
      <c r="H27">
        <f>IF(协调曲线图!$S$15="是，LCO绘图",IF((k0two/((POWER($A27,alfa02))-1)*(t0two/beta02))&gt;Lco瞬跳時間2,k0two/((POWER($A27,alfa02))-1)*(t0two/beta02),Lco瞬跳時間2)," ")</f>
        <v>0.53439375659021726</v>
      </c>
      <c r="I27">
        <f t="shared" si="4"/>
        <v>1200</v>
      </c>
      <c r="J27">
        <f t="shared" si="5"/>
        <v>150</v>
      </c>
      <c r="L27">
        <f t="shared" si="6"/>
        <v>0.45</v>
      </c>
      <c r="M27">
        <f>IF(协调曲线图!$S$22="是，LCO绘图",IF((k0three/((POWER($A27,alfa03))-1)*(t0three/beta03))&gt;Lco瞬跳時間3,k0three/((POWER($A27,alfa03))-1)*(t0three/beta03),Lco瞬跳時間3)," ")</f>
        <v>0.68707768704456507</v>
      </c>
      <c r="N27">
        <f t="shared" si="7"/>
        <v>2000</v>
      </c>
      <c r="O27">
        <f t="shared" si="8"/>
        <v>150</v>
      </c>
      <c r="Q27">
        <f t="shared" si="9"/>
        <v>0.65</v>
      </c>
      <c r="R27">
        <f>IF(协调曲线图!$S$29="是，LCO绘图",IF((k0four/((POWER($A27,alfa04))-1)*(t0four/beta04))&gt;Lco瞬跳時間4,k0four/((POWER($A27,alfa04))-1)*(t0four/beta04),Lco瞬跳時間4)," ")</f>
        <v>0.83976161749891276</v>
      </c>
      <c r="S27">
        <f t="shared" si="10"/>
        <v>2500</v>
      </c>
      <c r="T27">
        <f t="shared" si="11"/>
        <v>150</v>
      </c>
      <c r="V27">
        <f t="shared" si="12"/>
        <v>0.85</v>
      </c>
      <c r="W27">
        <f>IF(协调曲线图!$S$36="是，LCO绘图",IF((k0five/((POWER($A27,alfa05))-1)*(t0five/beta05))&gt;Lco瞬跳時間5,k0five/((POWER($A27,alfa05))-1)*(t0five/beta05),Lco瞬跳時間5)," ")</f>
        <v>0.99244554795326068</v>
      </c>
      <c r="X27">
        <f t="shared" si="13"/>
        <v>3000</v>
      </c>
      <c r="Y27">
        <f t="shared" si="14"/>
        <v>150</v>
      </c>
      <c r="AA27">
        <f t="shared" si="15"/>
        <v>1.05</v>
      </c>
      <c r="AB27">
        <f>IF(协调曲线图!$S$43="是，LCO绘图",IF((k0six/((POWER($A27,alfa06))-1)*(t0six/beta06))&gt;Lco瞬跳時間6,k0six/((POWER($A27,alfa06))-1)*(t0six/beta06),Lco瞬跳時間6)," ")</f>
        <v>1.2214714436347822</v>
      </c>
      <c r="AC27">
        <f t="shared" si="16"/>
        <v>5000</v>
      </c>
      <c r="AD27">
        <f t="shared" si="17"/>
        <v>300</v>
      </c>
    </row>
    <row r="28" spans="1:30">
      <c r="A28">
        <v>21</v>
      </c>
      <c r="B28">
        <f t="shared" si="0"/>
        <v>7.5081532523441102E-2</v>
      </c>
      <c r="C28">
        <f>IF(协调曲线图!$S$8="是，LCO绘图",IF((k0one/((POWER($A28,alfa01))-1)*(t0one/beta01))&gt;Lco瞬跳時間1,k0one/((POWER($A28,alfa01))-1)*(t0one/beta01),Lco瞬跳時間1)," ")</f>
        <v>0.37540766261720548</v>
      </c>
      <c r="D28">
        <f t="shared" si="1"/>
        <v>672</v>
      </c>
      <c r="E28">
        <f t="shared" si="2"/>
        <v>150</v>
      </c>
      <c r="G28">
        <f t="shared" si="3"/>
        <v>0.25</v>
      </c>
      <c r="H28">
        <f>IF(协调曲线图!$S$15="是，LCO绘图",IF((k0two/((POWER($A28,alfa02))-1)*(t0two/beta02))&gt;Lco瞬跳時間2,k0two/((POWER($A28,alfa02))-1)*(t0two/beta02),Lco瞬跳時間2)," ")</f>
        <v>0.52557072766408774</v>
      </c>
      <c r="I28">
        <f t="shared" si="4"/>
        <v>1260</v>
      </c>
      <c r="J28">
        <f t="shared" si="5"/>
        <v>150</v>
      </c>
      <c r="L28">
        <f t="shared" si="6"/>
        <v>0.45</v>
      </c>
      <c r="M28">
        <f>IF(协调曲线图!$S$22="是，LCO绘图",IF((k0three/((POWER($A28,alfa03))-1)*(t0three/beta03))&gt;Lco瞬跳時間3,k0three/((POWER($A28,alfa03))-1)*(t0three/beta03),Lco瞬跳時間3)," ")</f>
        <v>0.67573379271097</v>
      </c>
      <c r="N28">
        <f t="shared" si="7"/>
        <v>2000</v>
      </c>
      <c r="O28">
        <f t="shared" si="8"/>
        <v>150</v>
      </c>
      <c r="Q28">
        <f t="shared" si="9"/>
        <v>0.65</v>
      </c>
      <c r="R28">
        <f>IF(协调曲线图!$S$29="是，LCO绘图",IF((k0four/((POWER($A28,alfa04))-1)*(t0four/beta04))&gt;Lco瞬跳時間4,k0four/((POWER($A28,alfa04))-1)*(t0four/beta04),Lco瞬跳時間4)," ")</f>
        <v>0.82589685775785215</v>
      </c>
      <c r="S28">
        <f t="shared" si="10"/>
        <v>2500</v>
      </c>
      <c r="T28">
        <f t="shared" si="11"/>
        <v>150</v>
      </c>
      <c r="V28">
        <f t="shared" si="12"/>
        <v>0.85</v>
      </c>
      <c r="W28">
        <f>IF(协调曲线图!$S$36="是，LCO绘图",IF((k0five/((POWER($A28,alfa05))-1)*(t0five/beta05))&gt;Lco瞬跳時間5,k0five/((POWER($A28,alfa05))-1)*(t0five/beta05),Lco瞬跳時間5)," ")</f>
        <v>0.97605992280473441</v>
      </c>
      <c r="X28">
        <f t="shared" si="13"/>
        <v>3000</v>
      </c>
      <c r="Y28">
        <f t="shared" si="14"/>
        <v>150</v>
      </c>
      <c r="AA28">
        <f t="shared" si="15"/>
        <v>1.05</v>
      </c>
      <c r="AB28">
        <f>IF(协调曲线图!$S$43="是，LCO绘图",IF((k0six/((POWER($A28,alfa06))-1)*(t0six/beta06))&gt;Lco瞬跳時間6,k0six/((POWER($A28,alfa06))-1)*(t0six/beta06),Lco瞬跳時間6)," ")</f>
        <v>1.2013045203750576</v>
      </c>
      <c r="AC28">
        <f t="shared" si="16"/>
        <v>5000</v>
      </c>
      <c r="AD28">
        <f t="shared" si="17"/>
        <v>300</v>
      </c>
    </row>
    <row r="29" spans="1:30">
      <c r="A29">
        <v>22</v>
      </c>
      <c r="B29">
        <f t="shared" si="0"/>
        <v>7.391681378259278E-2</v>
      </c>
      <c r="C29">
        <f>IF(协调曲线图!$S$8="是，LCO绘图",IF((k0one/((POWER($A29,alfa01))-1)*(t0one/beta01))&gt;Lco瞬跳時間1,k0one/((POWER($A29,alfa01))-1)*(t0one/beta01),Lco瞬跳時間1)," ")</f>
        <v>0.36958406891296386</v>
      </c>
      <c r="D29">
        <f t="shared" si="1"/>
        <v>704</v>
      </c>
      <c r="E29">
        <f t="shared" si="2"/>
        <v>150</v>
      </c>
      <c r="G29">
        <f t="shared" si="3"/>
        <v>0.25</v>
      </c>
      <c r="H29">
        <f>IF(协调曲线图!$S$15="是，LCO绘图",IF((k0two/((POWER($A29,alfa02))-1)*(t0two/beta02))&gt;Lco瞬跳時間2,k0two/((POWER($A29,alfa02))-1)*(t0two/beta02),Lco瞬跳時間2)," ")</f>
        <v>0.51741769647814939</v>
      </c>
      <c r="I29">
        <f t="shared" si="4"/>
        <v>1320</v>
      </c>
      <c r="J29">
        <f t="shared" si="5"/>
        <v>150</v>
      </c>
      <c r="L29">
        <f t="shared" si="6"/>
        <v>0.45</v>
      </c>
      <c r="M29">
        <f>IF(协调曲线图!$S$22="是，LCO绘图",IF((k0three/((POWER($A29,alfa03))-1)*(t0three/beta03))&gt;Lco瞬跳時間3,k0three/((POWER($A29,alfa03))-1)*(t0three/beta03),Lco瞬跳時間3)," ")</f>
        <v>0.66525132404333509</v>
      </c>
      <c r="N29">
        <f t="shared" si="7"/>
        <v>2000</v>
      </c>
      <c r="O29">
        <f t="shared" si="8"/>
        <v>150</v>
      </c>
      <c r="Q29">
        <f t="shared" si="9"/>
        <v>0.65</v>
      </c>
      <c r="R29">
        <f>IF(协调曲线图!$S$29="是，LCO绘图",IF((k0four/((POWER($A29,alfa04))-1)*(t0four/beta04))&gt;Lco瞬跳時間4,k0four/((POWER($A29,alfa04))-1)*(t0four/beta04),Lco瞬跳時間4)," ")</f>
        <v>0.81308495160852057</v>
      </c>
      <c r="S29">
        <f t="shared" si="10"/>
        <v>2500</v>
      </c>
      <c r="T29">
        <f t="shared" si="11"/>
        <v>150</v>
      </c>
      <c r="V29">
        <f t="shared" si="12"/>
        <v>0.85</v>
      </c>
      <c r="W29">
        <f>IF(协调曲线图!$S$36="是，LCO绘图",IF((k0five/((POWER($A29,alfa05))-1)*(t0five/beta05))&gt;Lco瞬跳時間5,k0five/((POWER($A29,alfa05))-1)*(t0five/beta05),Lco瞬跳時間5)," ")</f>
        <v>0.96091857917370616</v>
      </c>
      <c r="X29">
        <f t="shared" si="13"/>
        <v>3000</v>
      </c>
      <c r="Y29">
        <f t="shared" si="14"/>
        <v>150</v>
      </c>
      <c r="AA29">
        <f t="shared" si="15"/>
        <v>1.05</v>
      </c>
      <c r="AB29">
        <f>IF(协调曲线图!$S$43="是，LCO绘图",IF((k0six/((POWER($A29,alfa06))-1)*(t0six/beta06))&gt;Lco瞬跳時間6,k0six/((POWER($A29,alfa06))-1)*(t0six/beta06),Lco瞬跳時間6)," ")</f>
        <v>1.1826690205214845</v>
      </c>
      <c r="AC29">
        <f t="shared" si="16"/>
        <v>5000</v>
      </c>
      <c r="AD29">
        <f t="shared" si="17"/>
        <v>300</v>
      </c>
    </row>
    <row r="30" spans="1:30">
      <c r="A30">
        <v>23</v>
      </c>
      <c r="B30">
        <f t="shared" si="0"/>
        <v>7.2836178104259269E-2</v>
      </c>
      <c r="C30">
        <f>IF(协调曲线图!$S$8="是，LCO绘图",IF((k0one/((POWER($A30,alfa01))-1)*(t0one/beta01))&gt;Lco瞬跳時間1,k0one/((POWER($A30,alfa01))-1)*(t0one/beta01),Lco瞬跳時間1)," ")</f>
        <v>0.36418089052129632</v>
      </c>
      <c r="D30">
        <f t="shared" si="1"/>
        <v>736</v>
      </c>
      <c r="E30">
        <f t="shared" si="2"/>
        <v>150</v>
      </c>
      <c r="G30">
        <f t="shared" si="3"/>
        <v>0.25</v>
      </c>
      <c r="H30">
        <f>IF(协调曲线图!$S$15="是，LCO绘图",IF((k0two/((POWER($A30,alfa02))-1)*(t0two/beta02))&gt;Lco瞬跳時間2,k0two/((POWER($A30,alfa02))-1)*(t0two/beta02),Lco瞬跳時間2)," ")</f>
        <v>0.5098532467298148</v>
      </c>
      <c r="I30">
        <f t="shared" si="4"/>
        <v>1380</v>
      </c>
      <c r="J30">
        <f t="shared" si="5"/>
        <v>150</v>
      </c>
      <c r="L30">
        <f t="shared" si="6"/>
        <v>0.45</v>
      </c>
      <c r="M30">
        <f>IF(协调曲线图!$S$22="是，LCO绘图",IF((k0three/((POWER($A30,alfa03))-1)*(t0three/beta03))&gt;Lco瞬跳時間3,k0three/((POWER($A30,alfa03))-1)*(t0three/beta03),Lco瞬跳時間3)," ")</f>
        <v>0.65552560293833351</v>
      </c>
      <c r="N30">
        <f t="shared" si="7"/>
        <v>2000</v>
      </c>
      <c r="O30">
        <f t="shared" si="8"/>
        <v>150</v>
      </c>
      <c r="Q30">
        <f t="shared" si="9"/>
        <v>0.65</v>
      </c>
      <c r="R30">
        <f>IF(协调曲线图!$S$29="是，LCO绘图",IF((k0four/((POWER($A30,alfa04))-1)*(t0four/beta04))&gt;Lco瞬跳時間4,k0four/((POWER($A30,alfa04))-1)*(t0four/beta04),Lco瞬跳時間4)," ")</f>
        <v>0.80119795914685188</v>
      </c>
      <c r="S30">
        <f t="shared" si="10"/>
        <v>2500</v>
      </c>
      <c r="T30">
        <f t="shared" si="11"/>
        <v>150</v>
      </c>
      <c r="V30">
        <f t="shared" si="12"/>
        <v>0.85</v>
      </c>
      <c r="W30">
        <f>IF(协调曲线图!$S$36="是，LCO绘图",IF((k0five/((POWER($A30,alfa05))-1)*(t0five/beta05))&gt;Lco瞬跳時間5,k0five/((POWER($A30,alfa05))-1)*(t0five/beta05),Lco瞬跳時間5)," ")</f>
        <v>0.94687031535537058</v>
      </c>
      <c r="X30">
        <f t="shared" si="13"/>
        <v>3000</v>
      </c>
      <c r="Y30">
        <f t="shared" si="14"/>
        <v>150</v>
      </c>
      <c r="AA30">
        <f t="shared" si="15"/>
        <v>1.05</v>
      </c>
      <c r="AB30">
        <f>IF(协调曲线图!$S$43="是，LCO绘图",IF((k0six/((POWER($A30,alfa06))-1)*(t0six/beta06))&gt;Lco瞬跳時間6,k0six/((POWER($A30,alfa06))-1)*(t0six/beta06),Lco瞬跳時間6)," ")</f>
        <v>1.1653788496681483</v>
      </c>
      <c r="AC30">
        <f t="shared" si="16"/>
        <v>5000</v>
      </c>
      <c r="AD30">
        <f t="shared" si="17"/>
        <v>300</v>
      </c>
    </row>
    <row r="31" spans="1:30">
      <c r="A31">
        <v>24</v>
      </c>
      <c r="B31">
        <f t="shared" si="0"/>
        <v>7.1829877409984533E-2</v>
      </c>
      <c r="C31">
        <f>IF(协调曲线图!$S$8="是，LCO绘图",IF((k0one/((POWER($A31,alfa01))-1)*(t0one/beta01))&gt;Lco瞬跳時間1,k0one/((POWER($A31,alfa01))-1)*(t0one/beta01),Lco瞬跳時間1)," ")</f>
        <v>0.35914938704992261</v>
      </c>
      <c r="D31">
        <f t="shared" si="1"/>
        <v>768</v>
      </c>
      <c r="E31">
        <f t="shared" si="2"/>
        <v>150</v>
      </c>
      <c r="G31">
        <f t="shared" si="3"/>
        <v>0.25</v>
      </c>
      <c r="H31">
        <f>IF(协调曲线图!$S$15="是，LCO绘图",IF((k0two/((POWER($A31,alfa02))-1)*(t0two/beta02))&gt;Lco瞬跳時間2,k0two/((POWER($A31,alfa02))-1)*(t0two/beta02),Lco瞬跳時間2)," ")</f>
        <v>0.50280914186989167</v>
      </c>
      <c r="I31">
        <f t="shared" si="4"/>
        <v>1440</v>
      </c>
      <c r="J31">
        <f t="shared" si="5"/>
        <v>150</v>
      </c>
      <c r="L31">
        <f t="shared" si="6"/>
        <v>0.45</v>
      </c>
      <c r="M31">
        <f>IF(协调曲线图!$S$22="是，LCO绘图",IF((k0three/((POWER($A31,alfa03))-1)*(t0three/beta03))&gt;Lco瞬跳時間3,k0three/((POWER($A31,alfa03))-1)*(t0three/beta03),Lco瞬跳時間3)," ")</f>
        <v>0.64646889668986085</v>
      </c>
      <c r="N31">
        <f t="shared" si="7"/>
        <v>2000</v>
      </c>
      <c r="O31">
        <f t="shared" si="8"/>
        <v>150</v>
      </c>
      <c r="Q31">
        <f t="shared" si="9"/>
        <v>0.65</v>
      </c>
      <c r="R31">
        <f>IF(协调曲线图!$S$29="是，LCO绘图",IF((k0four/((POWER($A31,alfa04))-1)*(t0four/beta04))&gt;Lco瞬跳時間4,k0four/((POWER($A31,alfa04))-1)*(t0four/beta04),Lco瞬跳時間4)," ")</f>
        <v>0.7901286515098298</v>
      </c>
      <c r="S31">
        <f t="shared" si="10"/>
        <v>2500</v>
      </c>
      <c r="T31">
        <f t="shared" si="11"/>
        <v>150</v>
      </c>
      <c r="V31">
        <f t="shared" si="12"/>
        <v>0.85</v>
      </c>
      <c r="W31">
        <f>IF(协调曲线图!$S$36="是，LCO绘图",IF((k0five/((POWER($A31,alfa05))-1)*(t0five/beta05))&gt;Lco瞬跳時間5,k0five/((POWER($A31,alfa05))-1)*(t0five/beta05),Lco瞬跳時間5)," ")</f>
        <v>0.93378840632979898</v>
      </c>
      <c r="X31">
        <f t="shared" si="13"/>
        <v>3000</v>
      </c>
      <c r="Y31">
        <f t="shared" si="14"/>
        <v>150</v>
      </c>
      <c r="AA31">
        <f t="shared" si="15"/>
        <v>1.05</v>
      </c>
      <c r="AB31">
        <f>IF(协调曲线图!$S$43="是，LCO绘图",IF((k0six/((POWER($A31,alfa06))-1)*(t0six/beta06))&gt;Lco瞬跳時間6,k0six/((POWER($A31,alfa06))-1)*(t0six/beta06),Lco瞬跳時間6)," ")</f>
        <v>1.1492780385597525</v>
      </c>
      <c r="AC31">
        <f t="shared" si="16"/>
        <v>5000</v>
      </c>
      <c r="AD31">
        <f t="shared" si="17"/>
        <v>300</v>
      </c>
    </row>
    <row r="32" spans="1:30">
      <c r="A32">
        <v>25</v>
      </c>
      <c r="B32">
        <f t="shared" si="0"/>
        <v>7.0889673067669093E-2</v>
      </c>
      <c r="C32">
        <f>IF(协调曲线图!$S$8="是，LCO绘图",IF((k0one/((POWER($A32,alfa01))-1)*(t0one/beta01))&gt;Lco瞬跳時間1,k0one/((POWER($A32,alfa01))-1)*(t0one/beta01),Lco瞬跳時間1)," ")</f>
        <v>0.35444836533834545</v>
      </c>
      <c r="D32">
        <f t="shared" si="1"/>
        <v>800</v>
      </c>
      <c r="E32">
        <f t="shared" si="2"/>
        <v>150</v>
      </c>
      <c r="G32">
        <f t="shared" si="3"/>
        <v>0.25</v>
      </c>
      <c r="H32">
        <f>IF(协调曲线图!$S$15="是，LCO绘图",IF((k0two/((POWER($A32,alfa02))-1)*(t0two/beta02))&gt;Lco瞬跳時間2,k0two/((POWER($A32,alfa02))-1)*(t0two/beta02),Lco瞬跳時間2)," ")</f>
        <v>0.49622771147368366</v>
      </c>
      <c r="I32">
        <f t="shared" si="4"/>
        <v>1500</v>
      </c>
      <c r="J32">
        <f t="shared" si="5"/>
        <v>150</v>
      </c>
      <c r="L32">
        <f t="shared" si="6"/>
        <v>0.45</v>
      </c>
      <c r="M32">
        <f>IF(协调曲线图!$S$22="是，LCO绘图",IF((k0three/((POWER($A32,alfa03))-1)*(t0three/beta03))&gt;Lco瞬跳時間3,k0three/((POWER($A32,alfa03))-1)*(t0three/beta03),Lco瞬跳時間3)," ")</f>
        <v>0.63800705760902188</v>
      </c>
      <c r="N32">
        <f t="shared" si="7"/>
        <v>2000</v>
      </c>
      <c r="O32">
        <f t="shared" si="8"/>
        <v>150</v>
      </c>
      <c r="Q32">
        <f t="shared" si="9"/>
        <v>0.65</v>
      </c>
      <c r="R32">
        <f>IF(协调曲线图!$S$29="是，LCO绘图",IF((k0four/((POWER($A32,alfa04))-1)*(t0four/beta04))&gt;Lco瞬跳時間4,k0four/((POWER($A32,alfa04))-1)*(t0four/beta04),Lco瞬跳時間4)," ")</f>
        <v>0.77978640374436003</v>
      </c>
      <c r="S32">
        <f t="shared" si="10"/>
        <v>2500</v>
      </c>
      <c r="T32">
        <f t="shared" si="11"/>
        <v>150</v>
      </c>
      <c r="V32">
        <f t="shared" si="12"/>
        <v>0.85</v>
      </c>
      <c r="W32">
        <f>IF(协调曲线图!$S$36="是，LCO绘图",IF((k0five/((POWER($A32,alfa05))-1)*(t0five/beta05))&gt;Lco瞬跳時間5,k0five/((POWER($A32,alfa05))-1)*(t0five/beta05),Lco瞬跳時間5)," ")</f>
        <v>0.9215657498796983</v>
      </c>
      <c r="X32">
        <f t="shared" si="13"/>
        <v>3000</v>
      </c>
      <c r="Y32">
        <f t="shared" si="14"/>
        <v>150</v>
      </c>
      <c r="AA32">
        <f t="shared" si="15"/>
        <v>1.05</v>
      </c>
      <c r="AB32">
        <f>IF(协调曲线图!$S$43="是，LCO绘图",IF((k0six/((POWER($A32,alfa06))-1)*(t0six/beta06))&gt;Lco瞬跳時間6,k0six/((POWER($A32,alfa06))-1)*(t0six/beta06),Lco瞬跳時間6)," ")</f>
        <v>1.1342347690827055</v>
      </c>
      <c r="AC32">
        <f t="shared" si="16"/>
        <v>5000</v>
      </c>
      <c r="AD32">
        <f t="shared" si="17"/>
        <v>300</v>
      </c>
    </row>
    <row r="33" spans="1:30">
      <c r="A33">
        <v>26</v>
      </c>
      <c r="B33">
        <f t="shared" si="0"/>
        <v>7.0008548947559923E-2</v>
      </c>
      <c r="C33">
        <f>IF(协调曲线图!$S$8="是，LCO绘图",IF((k0one/((POWER($A33,alfa01))-1)*(t0one/beta01))&gt;Lco瞬跳時間1,k0one/((POWER($A33,alfa01))-1)*(t0one/beta01),Lco瞬跳時間1)," ")</f>
        <v>0.35004274473779956</v>
      </c>
      <c r="D33">
        <f t="shared" si="1"/>
        <v>832</v>
      </c>
      <c r="E33">
        <f t="shared" si="2"/>
        <v>150</v>
      </c>
      <c r="G33">
        <f t="shared" si="3"/>
        <v>0.25</v>
      </c>
      <c r="H33">
        <f>IF(协调曲线图!$S$15="是，LCO绘图",IF((k0two/((POWER($A33,alfa02))-1)*(t0two/beta02))&gt;Lco瞬跳時間2,k0two/((POWER($A33,alfa02))-1)*(t0two/beta02),Lco瞬跳時間2)," ")</f>
        <v>0.49005984263291941</v>
      </c>
      <c r="I33">
        <f t="shared" si="4"/>
        <v>1500</v>
      </c>
      <c r="J33">
        <f t="shared" si="5"/>
        <v>150</v>
      </c>
      <c r="L33">
        <f t="shared" si="6"/>
        <v>0.45</v>
      </c>
      <c r="M33">
        <f>IF(协调曲线图!$S$22="是，LCO绘图",IF((k0three/((POWER($A33,alfa03))-1)*(t0three/beta03))&gt;Lco瞬跳時間3,k0three/((POWER($A33,alfa03))-1)*(t0three/beta03),Lco瞬跳時間3)," ")</f>
        <v>0.63007694052803931</v>
      </c>
      <c r="N33">
        <f t="shared" si="7"/>
        <v>2000</v>
      </c>
      <c r="O33">
        <f t="shared" si="8"/>
        <v>150</v>
      </c>
      <c r="Q33">
        <f t="shared" si="9"/>
        <v>0.65</v>
      </c>
      <c r="R33">
        <f>IF(协调曲线图!$S$29="是，LCO绘图",IF((k0four/((POWER($A33,alfa04))-1)*(t0four/beta04))&gt;Lco瞬跳時間4,k0four/((POWER($A33,alfa04))-1)*(t0four/beta04),Lco瞬跳時間4)," ")</f>
        <v>0.77009403842315916</v>
      </c>
      <c r="S33">
        <f t="shared" si="10"/>
        <v>2500</v>
      </c>
      <c r="T33">
        <f t="shared" si="11"/>
        <v>150</v>
      </c>
      <c r="V33">
        <f t="shared" si="12"/>
        <v>0.85</v>
      </c>
      <c r="W33">
        <f>IF(协调曲线图!$S$36="是，LCO绘图",IF((k0five/((POWER($A33,alfa05))-1)*(t0five/beta05))&gt;Lco瞬跳時間5,k0five/((POWER($A33,alfa05))-1)*(t0five/beta05),Lco瞬跳時間5)," ")</f>
        <v>0.910111136318279</v>
      </c>
      <c r="X33">
        <f t="shared" si="13"/>
        <v>3000</v>
      </c>
      <c r="Y33">
        <f t="shared" si="14"/>
        <v>150</v>
      </c>
      <c r="AA33">
        <f t="shared" si="15"/>
        <v>1.05</v>
      </c>
      <c r="AB33">
        <f>IF(协调曲线图!$S$43="是，LCO绘图",IF((k0six/((POWER($A33,alfa06))-1)*(t0six/beta06))&gt;Lco瞬跳時間6,k0six/((POWER($A33,alfa06))-1)*(t0six/beta06),Lco瞬跳時間6)," ")</f>
        <v>1.1201367831609588</v>
      </c>
      <c r="AC33">
        <f t="shared" si="16"/>
        <v>5000</v>
      </c>
      <c r="AD33">
        <f t="shared" si="17"/>
        <v>300</v>
      </c>
    </row>
    <row r="34" spans="1:30">
      <c r="A34">
        <v>27</v>
      </c>
      <c r="B34">
        <f t="shared" si="0"/>
        <v>6.9180488273167806E-2</v>
      </c>
      <c r="C34">
        <f>IF(协调曲线图!$S$8="是，LCO绘图",IF((k0one/((POWER($A34,alfa01))-1)*(t0one/beta01))&gt;Lco瞬跳時間1,k0one/((POWER($A34,alfa01))-1)*(t0one/beta01),Lco瞬跳時間1)," ")</f>
        <v>0.34590244136583898</v>
      </c>
      <c r="D34">
        <f t="shared" si="1"/>
        <v>864</v>
      </c>
      <c r="E34">
        <f t="shared" si="2"/>
        <v>150</v>
      </c>
      <c r="G34">
        <f t="shared" si="3"/>
        <v>0.25</v>
      </c>
      <c r="H34">
        <f>IF(协调曲线图!$S$15="是，LCO绘图",IF((k0two/((POWER($A34,alfa02))-1)*(t0two/beta02))&gt;Lco瞬跳時間2,k0two/((POWER($A34,alfa02))-1)*(t0two/beta02),Lco瞬跳時間2)," ")</f>
        <v>0.48426341791217459</v>
      </c>
      <c r="I34">
        <f t="shared" si="4"/>
        <v>1500</v>
      </c>
      <c r="J34">
        <f t="shared" si="5"/>
        <v>150</v>
      </c>
      <c r="L34">
        <f t="shared" si="6"/>
        <v>0.45</v>
      </c>
      <c r="M34">
        <f>IF(协调曲线图!$S$22="是，LCO绘图",IF((k0three/((POWER($A34,alfa03))-1)*(t0three/beta03))&gt;Lco瞬跳時間3,k0three/((POWER($A34,alfa03))-1)*(t0three/beta03),Lco瞬跳時間3)," ")</f>
        <v>0.62262439445851026</v>
      </c>
      <c r="N34">
        <f t="shared" si="7"/>
        <v>2000</v>
      </c>
      <c r="O34">
        <f t="shared" si="8"/>
        <v>150</v>
      </c>
      <c r="Q34">
        <f t="shared" si="9"/>
        <v>0.65</v>
      </c>
      <c r="R34">
        <f>IF(协调曲线图!$S$29="是，LCO绘图",IF((k0four/((POWER($A34,alfa04))-1)*(t0four/beta04))&gt;Lco瞬跳時間4,k0four/((POWER($A34,alfa04))-1)*(t0four/beta04),Lco瞬跳時間4)," ")</f>
        <v>0.76098537100484576</v>
      </c>
      <c r="S34">
        <f t="shared" si="10"/>
        <v>2500</v>
      </c>
      <c r="T34">
        <f t="shared" si="11"/>
        <v>150</v>
      </c>
      <c r="V34">
        <f t="shared" si="12"/>
        <v>0.85</v>
      </c>
      <c r="W34">
        <f>IF(协调曲线图!$S$36="是，LCO绘图",IF((k0five/((POWER($A34,alfa05))-1)*(t0five/beta05))&gt;Lco瞬跳時間5,k0five/((POWER($A34,alfa05))-1)*(t0five/beta05),Lco瞬跳時間5)," ")</f>
        <v>0.89934634755118137</v>
      </c>
      <c r="X34">
        <f t="shared" si="13"/>
        <v>3000</v>
      </c>
      <c r="Y34">
        <f t="shared" si="14"/>
        <v>150</v>
      </c>
      <c r="AA34">
        <f t="shared" si="15"/>
        <v>1.05</v>
      </c>
      <c r="AB34">
        <f>IF(协调曲线图!$S$43="是，LCO绘图",IF((k0six/((POWER($A34,alfa06))-1)*(t0six/beta06))&gt;Lco瞬跳時間6,k0six/((POWER($A34,alfa06))-1)*(t0six/beta06),Lco瞬跳時間6)," ")</f>
        <v>1.1068878123706849</v>
      </c>
      <c r="AC34">
        <f t="shared" si="16"/>
        <v>5000</v>
      </c>
      <c r="AD34">
        <f t="shared" si="17"/>
        <v>300</v>
      </c>
    </row>
    <row r="35" spans="1:30">
      <c r="A35">
        <v>28</v>
      </c>
      <c r="B35">
        <f t="shared" si="0"/>
        <v>6.8400298193267012E-2</v>
      </c>
      <c r="C35">
        <f>IF(协调曲线图!$S$8="是，LCO绘图",IF((k0one/((POWER($A35,alfa01))-1)*(t0one/beta01))&gt;Lco瞬跳時間1,k0one/((POWER($A35,alfa01))-1)*(t0one/beta01),Lco瞬跳時間1)," ")</f>
        <v>0.34200149096633503</v>
      </c>
      <c r="D35">
        <f t="shared" si="1"/>
        <v>896</v>
      </c>
      <c r="E35">
        <f t="shared" si="2"/>
        <v>150</v>
      </c>
      <c r="G35">
        <f t="shared" si="3"/>
        <v>0.25</v>
      </c>
      <c r="H35">
        <f>IF(协调曲线图!$S$15="是，LCO绘图",IF((k0two/((POWER($A35,alfa02))-1)*(t0two/beta02))&gt;Lco瞬跳時間2,k0two/((POWER($A35,alfa02))-1)*(t0two/beta02),Lco瞬跳時間2)," ")</f>
        <v>0.47880208735286905</v>
      </c>
      <c r="I35">
        <f t="shared" si="4"/>
        <v>1500</v>
      </c>
      <c r="J35">
        <f t="shared" si="5"/>
        <v>150</v>
      </c>
      <c r="L35">
        <f t="shared" si="6"/>
        <v>0.45</v>
      </c>
      <c r="M35">
        <f>IF(协调曲线图!$S$22="是，LCO绘图",IF((k0three/((POWER($A35,alfa03))-1)*(t0three/beta03))&gt;Lco瞬跳時間3,k0three/((POWER($A35,alfa03))-1)*(t0three/beta03),Lco瞬跳時間3)," ")</f>
        <v>0.61560268373940319</v>
      </c>
      <c r="N35">
        <f t="shared" si="7"/>
        <v>2000</v>
      </c>
      <c r="O35">
        <f t="shared" si="8"/>
        <v>150</v>
      </c>
      <c r="Q35">
        <f t="shared" si="9"/>
        <v>0.65</v>
      </c>
      <c r="R35">
        <f>IF(协调曲线图!$S$29="是，LCO绘图",IF((k0four/((POWER($A35,alfa04))-1)*(t0four/beta04))&gt;Lco瞬跳時間4,k0four/((POWER($A35,alfa04))-1)*(t0four/beta04),Lco瞬跳時間4)," ")</f>
        <v>0.75240328012593716</v>
      </c>
      <c r="S35">
        <f t="shared" si="10"/>
        <v>2500</v>
      </c>
      <c r="T35">
        <f t="shared" si="11"/>
        <v>150</v>
      </c>
      <c r="V35">
        <f t="shared" si="12"/>
        <v>0.85</v>
      </c>
      <c r="W35">
        <f>IF(协调曲线图!$S$36="是，LCO绘图",IF((k0five/((POWER($A35,alfa05))-1)*(t0five/beta05))&gt;Lco瞬跳時間5,k0five/((POWER($A35,alfa05))-1)*(t0five/beta05),Lco瞬跳時間5)," ")</f>
        <v>0.88920387651247124</v>
      </c>
      <c r="X35">
        <f t="shared" si="13"/>
        <v>3000</v>
      </c>
      <c r="Y35">
        <f t="shared" si="14"/>
        <v>150</v>
      </c>
      <c r="AA35">
        <f t="shared" si="15"/>
        <v>1.05</v>
      </c>
      <c r="AB35">
        <f>IF(协调曲线图!$S$43="是，LCO绘图",IF((k0six/((POWER($A35,alfa06))-1)*(t0six/beta06))&gt;Lco瞬跳時間6,k0six/((POWER($A35,alfa06))-1)*(t0six/beta06),Lco瞬跳時間6)," ")</f>
        <v>1.0944047710922722</v>
      </c>
      <c r="AC35">
        <f t="shared" si="16"/>
        <v>5000</v>
      </c>
      <c r="AD35">
        <f t="shared" si="17"/>
        <v>300</v>
      </c>
    </row>
    <row r="36" spans="1:30">
      <c r="A36">
        <v>29</v>
      </c>
      <c r="B36">
        <f t="shared" si="0"/>
        <v>6.7663470491183209E-2</v>
      </c>
      <c r="C36">
        <f>IF(协调曲线图!$S$8="是，LCO绘图",IF((k0one/((POWER($A36,alfa01))-1)*(t0one/beta01))&gt;Lco瞬跳時間1,k0one/((POWER($A36,alfa01))-1)*(t0one/beta01),Lco瞬跳時間1)," ")</f>
        <v>0.33831735245591604</v>
      </c>
      <c r="D36">
        <f t="shared" si="1"/>
        <v>928</v>
      </c>
      <c r="E36">
        <f t="shared" si="2"/>
        <v>150</v>
      </c>
      <c r="G36">
        <f t="shared" si="3"/>
        <v>0.25</v>
      </c>
      <c r="H36">
        <f>IF(协调曲线图!$S$15="是，LCO绘图",IF((k0two/((POWER($A36,alfa02))-1)*(t0two/beta02))&gt;Lco瞬跳時間2,k0two/((POWER($A36,alfa02))-1)*(t0two/beta02),Lco瞬跳時間2)," ")</f>
        <v>0.47364429343828246</v>
      </c>
      <c r="I36">
        <f t="shared" si="4"/>
        <v>1500</v>
      </c>
      <c r="J36">
        <f t="shared" si="5"/>
        <v>150</v>
      </c>
      <c r="L36">
        <f t="shared" si="6"/>
        <v>0.45</v>
      </c>
      <c r="M36">
        <f>IF(协调曲线图!$S$22="是，LCO绘图",IF((k0three/((POWER($A36,alfa03))-1)*(t0three/beta03))&gt;Lco瞬跳時間3,k0three/((POWER($A36,alfa03))-1)*(t0three/beta03),Lco瞬跳時間3)," ")</f>
        <v>0.60897123442064893</v>
      </c>
      <c r="N36">
        <f t="shared" si="7"/>
        <v>2000</v>
      </c>
      <c r="O36">
        <f t="shared" si="8"/>
        <v>150</v>
      </c>
      <c r="Q36">
        <f t="shared" si="9"/>
        <v>0.65</v>
      </c>
      <c r="R36">
        <f>IF(协调曲线图!$S$29="是，LCO绘图",IF((k0four/((POWER($A36,alfa04))-1)*(t0four/beta04))&gt;Lco瞬跳時間4,k0four/((POWER($A36,alfa04))-1)*(t0four/beta04),Lco瞬跳時間4)," ")</f>
        <v>0.74429817540301535</v>
      </c>
      <c r="S36">
        <f t="shared" si="10"/>
        <v>2500</v>
      </c>
      <c r="T36">
        <f t="shared" si="11"/>
        <v>150</v>
      </c>
      <c r="V36">
        <f t="shared" si="12"/>
        <v>0.85</v>
      </c>
      <c r="W36">
        <f>IF(协调曲线图!$S$36="是，LCO绘图",IF((k0five/((POWER($A36,alfa05))-1)*(t0five/beta05))&gt;Lco瞬跳時間5,k0five/((POWER($A36,alfa05))-1)*(t0five/beta05),Lco瞬跳時間5)," ")</f>
        <v>0.87962511638538177</v>
      </c>
      <c r="X36">
        <f t="shared" si="13"/>
        <v>3000</v>
      </c>
      <c r="Y36">
        <f t="shared" si="14"/>
        <v>150</v>
      </c>
      <c r="AA36">
        <f t="shared" si="15"/>
        <v>1.05</v>
      </c>
      <c r="AB36">
        <f>IF(协调曲线图!$S$43="是，LCO绘图",IF((k0six/((POWER($A36,alfa06))-1)*(t0six/beta06))&gt;Lco瞬跳時間6,k0six/((POWER($A36,alfa06))-1)*(t0six/beta06),Lco瞬跳時間6)," ")</f>
        <v>1.0826155278589313</v>
      </c>
      <c r="AC36">
        <f t="shared" si="16"/>
        <v>5000</v>
      </c>
      <c r="AD36">
        <f t="shared" si="17"/>
        <v>300</v>
      </c>
    </row>
    <row r="37" spans="1:30">
      <c r="A37">
        <v>30</v>
      </c>
      <c r="B37">
        <f t="shared" si="0"/>
        <v>6.6966069969407446E-2</v>
      </c>
      <c r="C37">
        <f>IF(协调曲线图!$S$8="是，LCO绘图",IF((k0one/((POWER($A37,alfa01))-1)*(t0one/beta01))&gt;Lco瞬跳時間1,k0one/((POWER($A37,alfa01))-1)*(t0one/beta01),Lco瞬跳時間1)," ")</f>
        <v>0.33483034984703719</v>
      </c>
      <c r="D37">
        <f t="shared" si="1"/>
        <v>960</v>
      </c>
      <c r="E37">
        <f t="shared" si="2"/>
        <v>150</v>
      </c>
      <c r="G37">
        <f t="shared" si="3"/>
        <v>0.25</v>
      </c>
      <c r="H37">
        <f>IF(协调曲线图!$S$15="是，LCO绘图",IF((k0two/((POWER($A37,alfa02))-1)*(t0two/beta02))&gt;Lco瞬跳時間2,k0two/((POWER($A37,alfa02))-1)*(t0two/beta02),Lco瞬跳時間2)," ")</f>
        <v>0.46876248978585205</v>
      </c>
      <c r="I37">
        <f t="shared" si="4"/>
        <v>1500</v>
      </c>
      <c r="J37">
        <f t="shared" si="5"/>
        <v>150</v>
      </c>
      <c r="L37">
        <f t="shared" si="6"/>
        <v>0.45</v>
      </c>
      <c r="M37">
        <f>IF(协调曲线图!$S$22="是，LCO绘图",IF((k0three/((POWER($A37,alfa03))-1)*(t0three/beta03))&gt;Lco瞬跳時間3,k0three/((POWER($A37,alfa03))-1)*(t0three/beta03),Lco瞬跳時間3)," ")</f>
        <v>0.60269462972466703</v>
      </c>
      <c r="N37">
        <f t="shared" si="7"/>
        <v>2000</v>
      </c>
      <c r="O37">
        <f t="shared" si="8"/>
        <v>150</v>
      </c>
      <c r="Q37">
        <f t="shared" si="9"/>
        <v>0.65</v>
      </c>
      <c r="R37">
        <f>IF(协调曲线图!$S$29="是，LCO绘图",IF((k0four/((POWER($A37,alfa04))-1)*(t0four/beta04))&gt;Lco瞬跳時間4,k0four/((POWER($A37,alfa04))-1)*(t0four/beta04),Lco瞬跳時間4)," ")</f>
        <v>0.73662676966348184</v>
      </c>
      <c r="S37">
        <f t="shared" si="10"/>
        <v>2500</v>
      </c>
      <c r="T37">
        <f t="shared" si="11"/>
        <v>150</v>
      </c>
      <c r="V37">
        <f t="shared" si="12"/>
        <v>0.85</v>
      </c>
      <c r="W37">
        <f>IF(协调曲线图!$S$36="是，LCO绘图",IF((k0five/((POWER($A37,alfa05))-1)*(t0five/beta05))&gt;Lco瞬跳時間5,k0five/((POWER($A37,alfa05))-1)*(t0five/beta05),Lco瞬跳時間5)," ")</f>
        <v>0.87055890960229676</v>
      </c>
      <c r="X37">
        <f t="shared" si="13"/>
        <v>3000</v>
      </c>
      <c r="Y37">
        <f t="shared" si="14"/>
        <v>150</v>
      </c>
      <c r="AA37">
        <f t="shared" si="15"/>
        <v>1.05</v>
      </c>
      <c r="AB37">
        <f>IF(协调曲线图!$S$43="是，LCO绘图",IF((k0six/((POWER($A37,alfa06))-1)*(t0six/beta06))&gt;Lco瞬跳時間6,k0six/((POWER($A37,alfa06))-1)*(t0six/beta06),Lco瞬跳時間6)," ")</f>
        <v>1.0714571195105191</v>
      </c>
      <c r="AC37">
        <f t="shared" si="16"/>
        <v>5000</v>
      </c>
      <c r="AD37">
        <f t="shared" si="17"/>
        <v>300</v>
      </c>
    </row>
    <row r="38" spans="1:30">
      <c r="A38">
        <v>31</v>
      </c>
      <c r="B38">
        <f t="shared" si="0"/>
        <v>6.6304644250384362E-2</v>
      </c>
      <c r="C38">
        <f>IF(协调曲线图!$S$8="是，LCO绘图",IF((k0one/((POWER($A38,alfa01))-1)*(t0one/beta01))&gt;Lco瞬跳時間1,k0one/((POWER($A38,alfa01))-1)*(t0one/beta01),Lco瞬跳時間1)," ")</f>
        <v>0.3315232212519218</v>
      </c>
      <c r="D38">
        <f t="shared" si="1"/>
        <v>992</v>
      </c>
      <c r="E38">
        <f t="shared" si="2"/>
        <v>150</v>
      </c>
      <c r="G38">
        <f t="shared" si="3"/>
        <v>0.25</v>
      </c>
      <c r="H38">
        <f>IF(协调曲线图!$S$15="是，LCO绘图",IF((k0two/((POWER($A38,alfa02))-1)*(t0two/beta02))&gt;Lco瞬跳時間2,k0two/((POWER($A38,alfa02))-1)*(t0two/beta02),Lco瞬跳時間2)," ")</f>
        <v>0.46413250975269055</v>
      </c>
      <c r="I38">
        <f t="shared" si="4"/>
        <v>1500</v>
      </c>
      <c r="J38">
        <f t="shared" si="5"/>
        <v>150</v>
      </c>
      <c r="L38">
        <f t="shared" si="6"/>
        <v>0.45</v>
      </c>
      <c r="M38">
        <f>IF(协调曲线图!$S$22="是，LCO绘图",IF((k0three/((POWER($A38,alfa03))-1)*(t0three/beta03))&gt;Lco瞬跳時間3,k0three/((POWER($A38,alfa03))-1)*(t0three/beta03),Lco瞬跳時間3)," ")</f>
        <v>0.5967417982534593</v>
      </c>
      <c r="N38">
        <f t="shared" si="7"/>
        <v>2000</v>
      </c>
      <c r="O38">
        <f t="shared" si="8"/>
        <v>150</v>
      </c>
      <c r="Q38">
        <f t="shared" si="9"/>
        <v>0.65</v>
      </c>
      <c r="R38">
        <f>IF(协调曲线图!$S$29="是，LCO绘图",IF((k0four/((POWER($A38,alfa04))-1)*(t0four/beta04))&gt;Lco瞬跳時間4,k0four/((POWER($A38,alfa04))-1)*(t0four/beta04),Lco瞬跳時間4)," ")</f>
        <v>0.729351086754228</v>
      </c>
      <c r="S38">
        <f t="shared" si="10"/>
        <v>2500</v>
      </c>
      <c r="T38">
        <f t="shared" si="11"/>
        <v>150</v>
      </c>
      <c r="V38">
        <f t="shared" si="12"/>
        <v>0.85</v>
      </c>
      <c r="W38">
        <f>IF(协调曲线图!$S$36="是，LCO绘图",IF((k0five/((POWER($A38,alfa05))-1)*(t0five/beta05))&gt;Lco瞬跳時間5,k0five/((POWER($A38,alfa05))-1)*(t0five/beta05),Lco瞬跳時間5)," ")</f>
        <v>0.8619603752549968</v>
      </c>
      <c r="X38">
        <f t="shared" si="13"/>
        <v>3000</v>
      </c>
      <c r="Y38">
        <f t="shared" si="14"/>
        <v>150</v>
      </c>
      <c r="AA38">
        <f t="shared" si="15"/>
        <v>1.05</v>
      </c>
      <c r="AB38">
        <f>IF(协调曲线图!$S$43="是，LCO绘图",IF((k0six/((POWER($A38,alfa06))-1)*(t0six/beta06))&gt;Lco瞬跳時間6,k0six/((POWER($A38,alfa06))-1)*(t0six/beta06),Lco瞬跳時間6)," ")</f>
        <v>1.0608743080061498</v>
      </c>
      <c r="AC38">
        <f t="shared" si="16"/>
        <v>5000</v>
      </c>
      <c r="AD38">
        <f t="shared" si="17"/>
        <v>300</v>
      </c>
    </row>
    <row r="39" spans="1:30">
      <c r="A39">
        <v>32</v>
      </c>
      <c r="B39">
        <f t="shared" si="0"/>
        <v>6.5676150310027492E-2</v>
      </c>
      <c r="C39">
        <f>IF(协调曲线图!$S$8="是，LCO绘图",IF((k0one/((POWER($A39,alfa01))-1)*(t0one/beta01))&gt;Lco瞬跳時間1,k0one/((POWER($A39,alfa01))-1)*(t0one/beta01),Lco瞬跳時間1)," ")</f>
        <v>0.32838075155013741</v>
      </c>
      <c r="D39">
        <f t="shared" si="1"/>
        <v>1024</v>
      </c>
      <c r="E39">
        <f t="shared" si="2"/>
        <v>150</v>
      </c>
      <c r="G39">
        <f t="shared" si="3"/>
        <v>0.25</v>
      </c>
      <c r="H39">
        <f>IF(协调曲线图!$S$15="是，LCO绘图",IF((k0two/((POWER($A39,alfa02))-1)*(t0two/beta02))&gt;Lco瞬跳時間2,k0two/((POWER($A39,alfa02))-1)*(t0two/beta02),Lco瞬跳時間2)," ")</f>
        <v>0.45973305217019239</v>
      </c>
      <c r="I39">
        <f t="shared" si="4"/>
        <v>1500</v>
      </c>
      <c r="J39">
        <f t="shared" si="5"/>
        <v>150</v>
      </c>
      <c r="L39">
        <f t="shared" si="6"/>
        <v>0.45</v>
      </c>
      <c r="M39">
        <f>IF(协调曲线图!$S$22="是，LCO绘图",IF((k0three/((POWER($A39,alfa03))-1)*(t0three/beta03))&gt;Lco瞬跳時間3,k0three/((POWER($A39,alfa03))-1)*(t0three/beta03),Lco瞬跳時間3)," ")</f>
        <v>0.59108535279024743</v>
      </c>
      <c r="N39">
        <f t="shared" si="7"/>
        <v>2000</v>
      </c>
      <c r="O39">
        <f t="shared" si="8"/>
        <v>150</v>
      </c>
      <c r="Q39">
        <f t="shared" si="9"/>
        <v>0.65</v>
      </c>
      <c r="R39">
        <f>IF(协调曲线图!$S$29="是，LCO绘图",IF((k0four/((POWER($A39,alfa04))-1)*(t0four/beta04))&gt;Lco瞬跳時間4,k0four/((POWER($A39,alfa04))-1)*(t0four/beta04),Lco瞬跳時間4)," ")</f>
        <v>0.72243765341030231</v>
      </c>
      <c r="S39">
        <f t="shared" si="10"/>
        <v>2500</v>
      </c>
      <c r="T39">
        <f t="shared" si="11"/>
        <v>150</v>
      </c>
      <c r="V39">
        <f t="shared" si="12"/>
        <v>0.85</v>
      </c>
      <c r="W39">
        <f>IF(协调曲线图!$S$36="是，LCO绘图",IF((k0five/((POWER($A39,alfa05))-1)*(t0five/beta05))&gt;Lco瞬跳時間5,k0five/((POWER($A39,alfa05))-1)*(t0five/beta05),Lco瞬跳時間5)," ")</f>
        <v>0.8537899540303574</v>
      </c>
      <c r="X39">
        <f t="shared" si="13"/>
        <v>3000</v>
      </c>
      <c r="Y39">
        <f t="shared" si="14"/>
        <v>150</v>
      </c>
      <c r="AA39">
        <f t="shared" si="15"/>
        <v>1.05</v>
      </c>
      <c r="AB39">
        <f>IF(协调曲线图!$S$43="是，LCO绘图",IF((k0six/((POWER($A39,alfa06))-1)*(t0six/beta06))&gt;Lco瞬跳時間6,k0six/((POWER($A39,alfa06))-1)*(t0six/beta06),Lco瞬跳時間6)," ")</f>
        <v>1.0508184049604399</v>
      </c>
      <c r="AC39">
        <f t="shared" si="16"/>
        <v>5000</v>
      </c>
      <c r="AD39">
        <f t="shared" si="17"/>
        <v>300</v>
      </c>
    </row>
    <row r="40" spans="1:30">
      <c r="A40">
        <v>33</v>
      </c>
      <c r="B40">
        <f t="shared" ref="B40:B71" si="18">IF((kone/((POWER($A40,alfa1))-1)*(tone/beta1))&gt;瞬跳時間1,kone/((POWER($A40,alfa1))-1)*(tone/beta1),瞬跳時間1)</f>
        <v>6.5077894201879247E-2</v>
      </c>
      <c r="C40">
        <f>IF(协调曲线图!$S$8="是，LCO绘图",IF((k0one/((POWER($A40,alfa01))-1)*(t0one/beta01))&gt;Lco瞬跳時間1,k0one/((POWER($A40,alfa01))-1)*(t0one/beta01),Lco瞬跳時間1)," ")</f>
        <v>0.32538947100939619</v>
      </c>
      <c r="D40">
        <f t="shared" si="1"/>
        <v>1050</v>
      </c>
      <c r="E40">
        <f t="shared" si="2"/>
        <v>150</v>
      </c>
      <c r="G40">
        <f t="shared" ref="G40:G71" si="19">IF((ktwo/((POWER($A40,alfa2))-1)*(ttwo/beta2))&gt;瞬跳時間2,ktwo/((POWER($A40,alfa2))-1)*(ttwo/beta2),瞬跳時間2)</f>
        <v>0.25</v>
      </c>
      <c r="H40">
        <f>IF(协调曲线图!$S$15="是，LCO绘图",IF((k0two/((POWER($A40,alfa02))-1)*(t0two/beta02))&gt;Lco瞬跳時間2,k0two/((POWER($A40,alfa02))-1)*(t0two/beta02),Lco瞬跳時間2)," ")</f>
        <v>0.45554525941315466</v>
      </c>
      <c r="I40">
        <f t="shared" ref="I40:I71" si="20">IF(Istwo*$A40&gt;=瞬跳電流2,瞬跳電流2,Istwo*$A40)/(covb2/covt2)</f>
        <v>1500</v>
      </c>
      <c r="J40">
        <f t="shared" ref="J40:J71" si="21">IF(Is0two*$A40&gt;=Lco瞬跳電流2,Lco瞬跳電流2,Is0two*$A40)/(covb2/covt2)</f>
        <v>150</v>
      </c>
      <c r="L40">
        <f t="shared" ref="L40:L71" si="22">IF((kthree/((POWER($A40,alfa3))-1)*(tthree/beta3))&gt;瞬跳時間3,kthree/((POWER($A40,alfa3))-1)*(tthree/beta3),瞬跳時間3)</f>
        <v>0.45</v>
      </c>
      <c r="M40">
        <f>IF(协调曲线图!$S$22="是，LCO绘图",IF((k0three/((POWER($A40,alfa03))-1)*(t0three/beta03))&gt;Lco瞬跳時間3,k0three/((POWER($A40,alfa03))-1)*(t0three/beta03),Lco瞬跳時間3)," ")</f>
        <v>0.58570104781691323</v>
      </c>
      <c r="N40">
        <f t="shared" ref="N40:N71" si="23">IF(Isthree*$A40&gt;=瞬跳電流3,瞬跳電流3,Isthree*$A40)/(covb3/covt3)</f>
        <v>2000</v>
      </c>
      <c r="O40">
        <f t="shared" ref="O40:O71" si="24">IF(Is0three*$A40&gt;=Lco瞬跳電流3,Lco瞬跳電流3,Is0three*$A40)/(covb3/covt3)</f>
        <v>150</v>
      </c>
      <c r="Q40">
        <f t="shared" ref="Q40:Q71" si="25">IF((kfour/((POWER($A40,alfa4))-1)*(tfour/beta4))&gt;瞬跳時間4,kfour/((POWER($A40,alfa4))-1)*(tfour/beta4),瞬跳時間4)</f>
        <v>0.65</v>
      </c>
      <c r="R40">
        <f>IF(协调曲线图!$S$29="是，LCO绘图",IF((k0four/((POWER($A40,alfa04))-1)*(t0four/beta04))&gt;Lco瞬跳時間4,k0four/((POWER($A40,alfa04))-1)*(t0four/beta04),Lco瞬跳時間4)," ")</f>
        <v>0.71585683622067164</v>
      </c>
      <c r="S40">
        <f t="shared" ref="S40:S71" si="26">IF(Isfour*$A40&gt;=瞬跳電流4,瞬跳電流4,Isfour*$A40)/(covb4/covt4)</f>
        <v>2500</v>
      </c>
      <c r="T40">
        <f t="shared" ref="T40:T71" si="27">IF(Is0four*$A40&gt;=Lco瞬跳電流4,Lco瞬跳電流4,Is0four*$A40)/(covb4/covt4)</f>
        <v>150</v>
      </c>
      <c r="V40">
        <f t="shared" ref="V40:V71" si="28">IF((kfive/((POWER($A40,alfa5))-1)*(tfive/beta5))&gt;瞬跳時間5,kfive/((POWER($A40,alfa5))-1)*(tfive/beta5),瞬跳時間5)</f>
        <v>0.85</v>
      </c>
      <c r="W40">
        <f>IF(协调曲线图!$S$36="是，LCO绘图",IF((k0five/((POWER($A40,alfa05))-1)*(t0five/beta05))&gt;Lco瞬跳時間5,k0five/((POWER($A40,alfa05))-1)*(t0five/beta05),Lco瞬跳時間5)," ")</f>
        <v>0.84601262462443017</v>
      </c>
      <c r="X40">
        <f t="shared" ref="X40:X71" si="29">IF(Isfive*$A40&gt;=瞬跳電流5,瞬跳電流5,Isfive*$A40)/(covb5/covt5)</f>
        <v>3000</v>
      </c>
      <c r="Y40">
        <f t="shared" ref="Y40:Y71" si="30">IF(Is0five*$A40&gt;=Lco瞬跳電流5,Lco瞬跳電流5,Is0five*$A40)/(covb5/covt5)</f>
        <v>150</v>
      </c>
      <c r="AA40">
        <f t="shared" ref="AA40:AA71" si="31">IF((ksix/((POWER($A40,alfa6))-1)*(tsix/beta6))&gt;瞬跳時間6,ksix/((POWER($A40,alfa6))-1)*(tsix/beta6),瞬跳時間6)</f>
        <v>1.05</v>
      </c>
      <c r="AB40">
        <f>IF(协调曲线图!$S$43="是，LCO绘图",IF((k0six/((POWER($A40,alfa06))-1)*(t0six/beta06))&gt;Lco瞬跳時間6,k0six/((POWER($A40,alfa06))-1)*(t0six/beta06),Lco瞬跳時間6)," ")</f>
        <v>1.0412463072300679</v>
      </c>
      <c r="AC40">
        <f t="shared" ref="AC40:AC71" si="32">IF(Issix*$A40&gt;=瞬跳電流6,瞬跳電流6,Issix*$A40)/(covb6/covt6)</f>
        <v>5000</v>
      </c>
      <c r="AD40">
        <f t="shared" ref="AD40:AD71" si="33">IF(Is0six*$A40&gt;=Lco瞬跳電流6,Lco瞬跳電流6,Is0six*$A40)/(covb6/covt6)</f>
        <v>300</v>
      </c>
    </row>
    <row r="41" spans="1:30">
      <c r="A41">
        <v>34</v>
      </c>
      <c r="B41">
        <f t="shared" si="18"/>
        <v>6.4507481266342995E-2</v>
      </c>
      <c r="C41">
        <f>IF(协调曲线图!$S$8="是，LCO绘图",IF((k0one/((POWER($A41,alfa01))-1)*(t0one/beta01))&gt;Lco瞬跳時間1,k0one/((POWER($A41,alfa01))-1)*(t0one/beta01),Lco瞬跳時間1)," ")</f>
        <v>0.32253740633171496</v>
      </c>
      <c r="D41">
        <f t="shared" ref="D41:D72" si="34">IF(Isone*$A41&gt;=瞬跳電流1,瞬跳電流1,Isone*$A41)/(covb1/covt1)</f>
        <v>1050</v>
      </c>
      <c r="E41">
        <f t="shared" ref="E41:E72" si="35">IF(Is0one*$A41&gt;=Lco瞬跳電流1,Lco瞬跳電流1,Is0one*$A41)/(covb1/covt1)</f>
        <v>150</v>
      </c>
      <c r="G41">
        <f t="shared" si="19"/>
        <v>0.25</v>
      </c>
      <c r="H41">
        <f>IF(协调曲线图!$S$15="是，LCO绘图",IF((k0two/((POWER($A41,alfa02))-1)*(t0two/beta02))&gt;Lco瞬跳時間2,k0two/((POWER($A41,alfa02))-1)*(t0two/beta02),Lco瞬跳時間2)," ")</f>
        <v>0.45155236886440098</v>
      </c>
      <c r="I41">
        <f t="shared" si="20"/>
        <v>1500</v>
      </c>
      <c r="J41">
        <f t="shared" si="21"/>
        <v>150</v>
      </c>
      <c r="L41">
        <f t="shared" si="22"/>
        <v>0.45</v>
      </c>
      <c r="M41">
        <f>IF(协调曲线图!$S$22="是，LCO绘图",IF((k0three/((POWER($A41,alfa03))-1)*(t0three/beta03))&gt;Lco瞬跳時間3,k0three/((POWER($A41,alfa03))-1)*(t0three/beta03),Lco瞬跳時間3)," ")</f>
        <v>0.58056733139708705</v>
      </c>
      <c r="N41">
        <f t="shared" si="23"/>
        <v>2000</v>
      </c>
      <c r="O41">
        <f t="shared" si="24"/>
        <v>150</v>
      </c>
      <c r="Q41">
        <f t="shared" si="25"/>
        <v>0.65</v>
      </c>
      <c r="R41">
        <f>IF(协调曲线图!$S$29="是，LCO绘图",IF((k0four/((POWER($A41,alfa04))-1)*(t0four/beta04))&gt;Lco瞬跳時間4,k0four/((POWER($A41,alfa04))-1)*(t0four/beta04),Lco瞬跳時間4)," ")</f>
        <v>0.7095822939297729</v>
      </c>
      <c r="S41">
        <f t="shared" si="26"/>
        <v>2500</v>
      </c>
      <c r="T41">
        <f t="shared" si="27"/>
        <v>150</v>
      </c>
      <c r="V41">
        <f t="shared" si="28"/>
        <v>0.85</v>
      </c>
      <c r="W41">
        <f>IF(协调曲线图!$S$36="是，LCO绘图",IF((k0five/((POWER($A41,alfa05))-1)*(t0five/beta05))&gt;Lco瞬跳時間5,k0five/((POWER($A41,alfa05))-1)*(t0five/beta05),Lco瞬跳時間5)," ")</f>
        <v>0.83859725646245897</v>
      </c>
      <c r="X41">
        <f t="shared" si="29"/>
        <v>3000</v>
      </c>
      <c r="Y41">
        <f t="shared" si="30"/>
        <v>150</v>
      </c>
      <c r="AA41">
        <f t="shared" si="31"/>
        <v>1.05</v>
      </c>
      <c r="AB41">
        <f>IF(协调曲线图!$S$43="是，LCO绘图",IF((k0six/((POWER($A41,alfa06))-1)*(t0six/beta06))&gt;Lco瞬跳時間6,k0six/((POWER($A41,alfa06))-1)*(t0six/beta06),Lco瞬跳時間6)," ")</f>
        <v>1.0321197002614879</v>
      </c>
      <c r="AC41">
        <f t="shared" si="32"/>
        <v>5000</v>
      </c>
      <c r="AD41">
        <f t="shared" si="33"/>
        <v>300</v>
      </c>
    </row>
    <row r="42" spans="1:30">
      <c r="A42">
        <v>35</v>
      </c>
      <c r="B42">
        <f t="shared" si="18"/>
        <v>6.3962774739160039E-2</v>
      </c>
      <c r="C42">
        <f>IF(协调曲线图!$S$8="是，LCO绘图",IF((k0one/((POWER($A42,alfa01))-1)*(t0one/beta01))&gt;Lco瞬跳時間1,k0one/((POWER($A42,alfa01))-1)*(t0one/beta01),Lco瞬跳時間1)," ")</f>
        <v>0.31981387369580017</v>
      </c>
      <c r="D42">
        <f t="shared" si="34"/>
        <v>1050</v>
      </c>
      <c r="E42">
        <f t="shared" si="35"/>
        <v>150</v>
      </c>
      <c r="G42">
        <f t="shared" si="19"/>
        <v>0.25</v>
      </c>
      <c r="H42">
        <f>IF(协调曲线图!$S$15="是，LCO绘图",IF((k0two/((POWER($A42,alfa02))-1)*(t0two/beta02))&gt;Lco瞬跳時間2,k0two/((POWER($A42,alfa02))-1)*(t0two/beta02),Lco瞬跳時間2)," ")</f>
        <v>0.44773942317412019</v>
      </c>
      <c r="I42">
        <f t="shared" si="20"/>
        <v>1500</v>
      </c>
      <c r="J42">
        <f t="shared" si="21"/>
        <v>150</v>
      </c>
      <c r="L42">
        <f t="shared" si="22"/>
        <v>0.45</v>
      </c>
      <c r="M42">
        <f>IF(协调曲线图!$S$22="是，LCO绘图",IF((k0three/((POWER($A42,alfa03))-1)*(t0three/beta03))&gt;Lco瞬跳時間3,k0three/((POWER($A42,alfa03))-1)*(t0three/beta03),Lco瞬跳時間3)," ")</f>
        <v>0.57566497265244032</v>
      </c>
      <c r="N42">
        <f t="shared" si="23"/>
        <v>2000</v>
      </c>
      <c r="O42">
        <f t="shared" si="24"/>
        <v>150</v>
      </c>
      <c r="Q42">
        <f t="shared" si="25"/>
        <v>0.65</v>
      </c>
      <c r="R42">
        <f>IF(协调曲线图!$S$29="是，LCO绘图",IF((k0four/((POWER($A42,alfa04))-1)*(t0four/beta04))&gt;Lco瞬跳時間4,k0four/((POWER($A42,alfa04))-1)*(t0four/beta04),Lco瞬跳時間4)," ")</f>
        <v>0.70359052213076034</v>
      </c>
      <c r="S42">
        <f t="shared" si="26"/>
        <v>2500</v>
      </c>
      <c r="T42">
        <f t="shared" si="27"/>
        <v>150</v>
      </c>
      <c r="V42">
        <f t="shared" si="28"/>
        <v>0.85</v>
      </c>
      <c r="W42">
        <f>IF(协调曲线图!$S$36="是，LCO绘图",IF((k0five/((POWER($A42,alfa05))-1)*(t0five/beta05))&gt;Lco瞬跳時間5,k0five/((POWER($A42,alfa05))-1)*(t0five/beta05),Lco瞬跳時間5)," ")</f>
        <v>0.83151607160908048</v>
      </c>
      <c r="X42">
        <f t="shared" si="29"/>
        <v>3000</v>
      </c>
      <c r="Y42">
        <f t="shared" si="30"/>
        <v>150</v>
      </c>
      <c r="AA42">
        <f t="shared" si="31"/>
        <v>1.05</v>
      </c>
      <c r="AB42">
        <f>IF(协调曲线图!$S$43="是，LCO绘图",IF((k0six/((POWER($A42,alfa06))-1)*(t0six/beta06))&gt;Lco瞬跳時間6,k0six/((POWER($A42,alfa06))-1)*(t0six/beta06),Lco瞬跳時間6)," ")</f>
        <v>1.0234043958265606</v>
      </c>
      <c r="AC42">
        <f t="shared" si="32"/>
        <v>5000</v>
      </c>
      <c r="AD42">
        <f t="shared" si="33"/>
        <v>300</v>
      </c>
    </row>
    <row r="43" spans="1:30">
      <c r="A43">
        <v>36</v>
      </c>
      <c r="B43">
        <f t="shared" si="18"/>
        <v>6.3441861137148559E-2</v>
      </c>
      <c r="C43">
        <f>IF(协调曲线图!$S$8="是，LCO绘图",IF((k0one/((POWER($A43,alfa01))-1)*(t0one/beta01))&gt;Lco瞬跳時間1,k0one/((POWER($A43,alfa01))-1)*(t0one/beta01),Lco瞬跳時間1)," ")</f>
        <v>0.31720930568574274</v>
      </c>
      <c r="D43">
        <f t="shared" si="34"/>
        <v>1050</v>
      </c>
      <c r="E43">
        <f t="shared" si="35"/>
        <v>150</v>
      </c>
      <c r="G43">
        <f t="shared" si="19"/>
        <v>0.25</v>
      </c>
      <c r="H43">
        <f>IF(协调曲线图!$S$15="是，LCO绘图",IF((k0two/((POWER($A43,alfa02))-1)*(t0two/beta02))&gt;Lco瞬跳時間2,k0two/((POWER($A43,alfa02))-1)*(t0two/beta02),Lco瞬跳時間2)," ")</f>
        <v>0.44409302796003985</v>
      </c>
      <c r="I43">
        <f t="shared" si="20"/>
        <v>1500</v>
      </c>
      <c r="J43">
        <f t="shared" si="21"/>
        <v>150</v>
      </c>
      <c r="L43">
        <f t="shared" si="22"/>
        <v>0.45</v>
      </c>
      <c r="M43">
        <f>IF(协调曲线图!$S$22="是，LCO绘图",IF((k0three/((POWER($A43,alfa03))-1)*(t0three/beta03))&gt;Lco瞬跳時間3,k0three/((POWER($A43,alfa03))-1)*(t0three/beta03),Lco瞬跳時間3)," ")</f>
        <v>0.57097675023433703</v>
      </c>
      <c r="N43">
        <f t="shared" si="23"/>
        <v>2000</v>
      </c>
      <c r="O43">
        <f t="shared" si="24"/>
        <v>150</v>
      </c>
      <c r="Q43">
        <f t="shared" si="25"/>
        <v>0.65</v>
      </c>
      <c r="R43">
        <f>IF(协调曲线图!$S$29="是，LCO绘图",IF((k0four/((POWER($A43,alfa04))-1)*(t0four/beta04))&gt;Lco瞬跳時間4,k0four/((POWER($A43,alfa04))-1)*(t0four/beta04),Lco瞬跳時間4)," ")</f>
        <v>0.69786047250863414</v>
      </c>
      <c r="S43">
        <f t="shared" si="26"/>
        <v>2500</v>
      </c>
      <c r="T43">
        <f t="shared" si="27"/>
        <v>150</v>
      </c>
      <c r="V43">
        <f t="shared" si="28"/>
        <v>0.85</v>
      </c>
      <c r="W43">
        <f>IF(协调曲线图!$S$36="是，LCO绘图",IF((k0five/((POWER($A43,alfa05))-1)*(t0five/beta05))&gt;Lco瞬跳時間5,k0five/((POWER($A43,alfa05))-1)*(t0five/beta05),Lco瞬跳時間5)," ")</f>
        <v>0.82474419478293126</v>
      </c>
      <c r="X43">
        <f t="shared" si="29"/>
        <v>3000</v>
      </c>
      <c r="Y43">
        <f t="shared" si="30"/>
        <v>150</v>
      </c>
      <c r="AA43">
        <f t="shared" si="31"/>
        <v>1.05</v>
      </c>
      <c r="AB43">
        <f>IF(协调曲线图!$S$43="是，LCO绘图",IF((k0six/((POWER($A43,alfa06))-1)*(t0six/beta06))&gt;Lco瞬跳時間6,k0six/((POWER($A43,alfa06))-1)*(t0six/beta06),Lco瞬跳時間6)," ")</f>
        <v>1.0150697781943769</v>
      </c>
      <c r="AC43">
        <f t="shared" si="32"/>
        <v>5000</v>
      </c>
      <c r="AD43">
        <f t="shared" si="33"/>
        <v>300</v>
      </c>
    </row>
    <row r="44" spans="1:30">
      <c r="A44">
        <v>37</v>
      </c>
      <c r="B44">
        <f t="shared" si="18"/>
        <v>6.2943021149687653E-2</v>
      </c>
      <c r="C44">
        <f>IF(协调曲线图!$S$8="是，LCO绘图",IF((k0one/((POWER($A44,alfa01))-1)*(t0one/beta01))&gt;Lco瞬跳時間1,k0one/((POWER($A44,alfa01))-1)*(t0one/beta01),Lco瞬跳時間1)," ")</f>
        <v>0.31471510574843825</v>
      </c>
      <c r="D44">
        <f t="shared" si="34"/>
        <v>1050</v>
      </c>
      <c r="E44">
        <f t="shared" si="35"/>
        <v>150</v>
      </c>
      <c r="G44">
        <f t="shared" si="19"/>
        <v>0.25</v>
      </c>
      <c r="H44">
        <f>IF(协调曲线图!$S$15="是，LCO绘图",IF((k0two/((POWER($A44,alfa02))-1)*(t0two/beta02))&gt;Lco瞬跳時間2,k0two/((POWER($A44,alfa02))-1)*(t0two/beta02),Lco瞬跳時間2)," ")</f>
        <v>0.44060114804781353</v>
      </c>
      <c r="I44">
        <f t="shared" si="20"/>
        <v>1500</v>
      </c>
      <c r="J44">
        <f t="shared" si="21"/>
        <v>150</v>
      </c>
      <c r="L44">
        <f t="shared" si="22"/>
        <v>0.45</v>
      </c>
      <c r="M44">
        <f>IF(协调曲线图!$S$22="是，LCO绘图",IF((k0three/((POWER($A44,alfa03))-1)*(t0three/beta03))&gt;Lco瞬跳時間3,k0three/((POWER($A44,alfa03))-1)*(t0three/beta03),Lco瞬跳時間3)," ")</f>
        <v>0.56648719034718886</v>
      </c>
      <c r="N44">
        <f t="shared" si="23"/>
        <v>2000</v>
      </c>
      <c r="O44">
        <f t="shared" si="24"/>
        <v>150</v>
      </c>
      <c r="Q44">
        <f t="shared" si="25"/>
        <v>0.65</v>
      </c>
      <c r="R44">
        <f>IF(协调曲线图!$S$29="是，LCO绘图",IF((k0four/((POWER($A44,alfa04))-1)*(t0four/beta04))&gt;Lco瞬跳時間4,k0four/((POWER($A44,alfa04))-1)*(t0four/beta04),Lco瞬跳時間4)," ")</f>
        <v>0.69237323264656414</v>
      </c>
      <c r="S44">
        <f t="shared" si="26"/>
        <v>2500</v>
      </c>
      <c r="T44">
        <f t="shared" si="27"/>
        <v>150</v>
      </c>
      <c r="V44">
        <f t="shared" si="28"/>
        <v>0.85</v>
      </c>
      <c r="W44">
        <f>IF(协调曲线图!$S$36="是，LCO绘图",IF((k0five/((POWER($A44,alfa05))-1)*(t0five/beta05))&gt;Lco瞬跳時間5,k0five/((POWER($A44,alfa05))-1)*(t0five/beta05),Lco瞬跳時間5)," ")</f>
        <v>0.81825927494593953</v>
      </c>
      <c r="X44">
        <f t="shared" si="29"/>
        <v>3000</v>
      </c>
      <c r="Y44">
        <f t="shared" si="30"/>
        <v>150</v>
      </c>
      <c r="AA44">
        <f t="shared" si="31"/>
        <v>1.05</v>
      </c>
      <c r="AB44">
        <f>IF(协调曲线图!$S$43="是，LCO绘图",IF((k0six/((POWER($A44,alfa06))-1)*(t0six/beta06))&gt;Lco瞬跳時間6,k0six/((POWER($A44,alfa06))-1)*(t0six/beta06),Lco瞬跳時間6)," ")</f>
        <v>1.0070883383950024</v>
      </c>
      <c r="AC44">
        <f t="shared" si="32"/>
        <v>5000</v>
      </c>
      <c r="AD44">
        <f t="shared" si="33"/>
        <v>300</v>
      </c>
    </row>
    <row r="45" spans="1:30">
      <c r="A45">
        <v>38</v>
      </c>
      <c r="B45">
        <f t="shared" si="18"/>
        <v>6.2464705031575696E-2</v>
      </c>
      <c r="C45">
        <f>IF(协调曲线图!$S$8="是，LCO绘图",IF((k0one/((POWER($A45,alfa01))-1)*(t0one/beta01))&gt;Lco瞬跳時間1,k0one/((POWER($A45,alfa01))-1)*(t0one/beta01),Lco瞬跳時間1)," ")</f>
        <v>0.31232352515787848</v>
      </c>
      <c r="D45">
        <f t="shared" si="34"/>
        <v>1050</v>
      </c>
      <c r="E45">
        <f t="shared" si="35"/>
        <v>150</v>
      </c>
      <c r="G45">
        <f t="shared" si="19"/>
        <v>0.25</v>
      </c>
      <c r="H45">
        <f>IF(协调曲线图!$S$15="是，LCO绘图",IF((k0two/((POWER($A45,alfa02))-1)*(t0two/beta02))&gt;Lco瞬跳時間2,k0two/((POWER($A45,alfa02))-1)*(t0two/beta02),Lco瞬跳時間2)," ")</f>
        <v>0.43725293522102987</v>
      </c>
      <c r="I45">
        <f t="shared" si="20"/>
        <v>1500</v>
      </c>
      <c r="J45">
        <f t="shared" si="21"/>
        <v>150</v>
      </c>
      <c r="L45">
        <f t="shared" si="22"/>
        <v>0.45</v>
      </c>
      <c r="M45">
        <f>IF(协调曲线图!$S$22="是，LCO绘图",IF((k0three/((POWER($A45,alfa03))-1)*(t0three/beta03))&gt;Lco瞬跳時間3,k0three/((POWER($A45,alfa03))-1)*(t0three/beta03),Lco瞬跳時間3)," ")</f>
        <v>0.56218234528418132</v>
      </c>
      <c r="N45">
        <f t="shared" si="23"/>
        <v>2000</v>
      </c>
      <c r="O45">
        <f t="shared" si="24"/>
        <v>150</v>
      </c>
      <c r="Q45">
        <f t="shared" si="25"/>
        <v>0.65</v>
      </c>
      <c r="R45">
        <f>IF(协调曲线图!$S$29="是，LCO绘图",IF((k0four/((POWER($A45,alfa04))-1)*(t0four/beta04))&gt;Lco瞬跳時間4,k0four/((POWER($A45,alfa04))-1)*(t0four/beta04),Lco瞬跳時間4)," ")</f>
        <v>0.6871117553473326</v>
      </c>
      <c r="S45">
        <f t="shared" si="26"/>
        <v>2500</v>
      </c>
      <c r="T45">
        <f t="shared" si="27"/>
        <v>150</v>
      </c>
      <c r="V45">
        <f t="shared" si="28"/>
        <v>0.85</v>
      </c>
      <c r="W45">
        <f>IF(协调曲线图!$S$36="是，LCO绘图",IF((k0five/((POWER($A45,alfa05))-1)*(t0five/beta05))&gt;Lco瞬跳時間5,k0five/((POWER($A45,alfa05))-1)*(t0five/beta05),Lco瞬跳時間5)," ")</f>
        <v>0.8120411654104841</v>
      </c>
      <c r="X45">
        <f t="shared" si="29"/>
        <v>3000</v>
      </c>
      <c r="Y45">
        <f t="shared" si="30"/>
        <v>150</v>
      </c>
      <c r="AA45">
        <f t="shared" si="31"/>
        <v>1.05</v>
      </c>
      <c r="AB45">
        <f>IF(协调曲线图!$S$43="是，LCO绘图",IF((k0six/((POWER($A45,alfa06))-1)*(t0six/beta06))&gt;Lco瞬跳時間6,k0six/((POWER($A45,alfa06))-1)*(t0six/beta06),Lco瞬跳時間6)," ")</f>
        <v>0.99943528050521113</v>
      </c>
      <c r="AC45">
        <f t="shared" si="32"/>
        <v>5000</v>
      </c>
      <c r="AD45">
        <f t="shared" si="33"/>
        <v>300</v>
      </c>
    </row>
    <row r="46" spans="1:30">
      <c r="A46">
        <v>39</v>
      </c>
      <c r="B46">
        <f t="shared" si="18"/>
        <v>6.2005511698243809E-2</v>
      </c>
      <c r="C46">
        <f>IF(协调曲线图!$S$8="是，LCO绘图",IF((k0one/((POWER($A46,alfa01))-1)*(t0one/beta01))&gt;Lco瞬跳時間1,k0one/((POWER($A46,alfa01))-1)*(t0one/beta01),Lco瞬跳時間1)," ")</f>
        <v>0.31002755849121899</v>
      </c>
      <c r="D46">
        <f t="shared" si="34"/>
        <v>1050</v>
      </c>
      <c r="E46">
        <f t="shared" si="35"/>
        <v>150</v>
      </c>
      <c r="G46">
        <f t="shared" si="19"/>
        <v>0.25</v>
      </c>
      <c r="H46">
        <f>IF(协调曲线图!$S$15="是，LCO绘图",IF((k0two/((POWER($A46,alfa02))-1)*(t0two/beta02))&gt;Lco瞬跳時間2,k0two/((POWER($A46,alfa02))-1)*(t0two/beta02),Lco瞬跳時間2)," ")</f>
        <v>0.43403858188770661</v>
      </c>
      <c r="I46">
        <f t="shared" si="20"/>
        <v>1500</v>
      </c>
      <c r="J46">
        <f t="shared" si="21"/>
        <v>150</v>
      </c>
      <c r="L46">
        <f t="shared" si="22"/>
        <v>0.45</v>
      </c>
      <c r="M46">
        <f>IF(协调曲线图!$S$22="是，LCO绘图",IF((k0three/((POWER($A46,alfa03))-1)*(t0three/beta03))&gt;Lco瞬跳時間3,k0three/((POWER($A46,alfa03))-1)*(t0three/beta03),Lco瞬跳時間3)," ")</f>
        <v>0.55804960528419434</v>
      </c>
      <c r="N46">
        <f t="shared" si="23"/>
        <v>2000</v>
      </c>
      <c r="O46">
        <f t="shared" si="24"/>
        <v>150</v>
      </c>
      <c r="Q46">
        <f t="shared" si="25"/>
        <v>0.65</v>
      </c>
      <c r="R46">
        <f>IF(协调曲线图!$S$29="是，LCO绘图",IF((k0four/((POWER($A46,alfa04))-1)*(t0four/beta04))&gt;Lco瞬跳時間4,k0four/((POWER($A46,alfa04))-1)*(t0four/beta04),Lco瞬跳時間4)," ")</f>
        <v>0.68206062868068185</v>
      </c>
      <c r="S46">
        <f t="shared" si="26"/>
        <v>2500</v>
      </c>
      <c r="T46">
        <f t="shared" si="27"/>
        <v>150</v>
      </c>
      <c r="V46">
        <f t="shared" si="28"/>
        <v>0.85</v>
      </c>
      <c r="W46">
        <f>IF(协调曲线图!$S$36="是，LCO绘图",IF((k0five/((POWER($A46,alfa05))-1)*(t0five/beta05))&gt;Lco瞬跳時間5,k0five/((POWER($A46,alfa05))-1)*(t0five/beta05),Lco瞬跳時間5)," ")</f>
        <v>0.80607165207716946</v>
      </c>
      <c r="X46">
        <f t="shared" si="29"/>
        <v>3000</v>
      </c>
      <c r="Y46">
        <f t="shared" si="30"/>
        <v>150</v>
      </c>
      <c r="AA46">
        <f t="shared" si="31"/>
        <v>1.05</v>
      </c>
      <c r="AB46">
        <f>IF(协调曲线图!$S$43="是，LCO绘图",IF((k0six/((POWER($A46,alfa06))-1)*(t0six/beta06))&gt;Lco瞬跳時間6,k0six/((POWER($A46,alfa06))-1)*(t0six/beta06),Lco瞬跳時間6)," ")</f>
        <v>0.99208818717190095</v>
      </c>
      <c r="AC46">
        <f t="shared" si="32"/>
        <v>5000</v>
      </c>
      <c r="AD46">
        <f t="shared" si="33"/>
        <v>300</v>
      </c>
    </row>
    <row r="47" spans="1:30">
      <c r="A47">
        <v>40</v>
      </c>
      <c r="B47">
        <f t="shared" si="18"/>
        <v>6.1564170883397225E-2</v>
      </c>
      <c r="C47">
        <f>IF(协调曲线图!$S$8="是，LCO绘图",IF((k0one/((POWER($A47,alfa01))-1)*(t0one/beta01))&gt;Lco瞬跳時間1,k0one/((POWER($A47,alfa01))-1)*(t0one/beta01),Lco瞬跳時間1)," ")</f>
        <v>0.30782085441698609</v>
      </c>
      <c r="D47">
        <f t="shared" si="34"/>
        <v>1050</v>
      </c>
      <c r="E47">
        <f t="shared" si="35"/>
        <v>150</v>
      </c>
      <c r="G47">
        <f t="shared" si="19"/>
        <v>0.25</v>
      </c>
      <c r="H47">
        <f>IF(协调曲线图!$S$15="是，LCO绘图",IF((k0two/((POWER($A47,alfa02))-1)*(t0two/beta02))&gt;Lco瞬跳時間2,k0two/((POWER($A47,alfa02))-1)*(t0two/beta02),Lco瞬跳時間2)," ")</f>
        <v>0.43094919618378053</v>
      </c>
      <c r="I47">
        <f t="shared" si="20"/>
        <v>1500</v>
      </c>
      <c r="J47">
        <f t="shared" si="21"/>
        <v>150</v>
      </c>
      <c r="L47">
        <f t="shared" si="22"/>
        <v>0.45</v>
      </c>
      <c r="M47">
        <f>IF(协调曲线图!$S$22="是，LCO绘图",IF((k0three/((POWER($A47,alfa03))-1)*(t0three/beta03))&gt;Lco瞬跳時間3,k0three/((POWER($A47,alfa03))-1)*(t0three/beta03),Lco瞬跳時間3)," ")</f>
        <v>0.55407753795057502</v>
      </c>
      <c r="N47">
        <f t="shared" si="23"/>
        <v>2000</v>
      </c>
      <c r="O47">
        <f t="shared" si="24"/>
        <v>150</v>
      </c>
      <c r="Q47">
        <f t="shared" si="25"/>
        <v>0.65</v>
      </c>
      <c r="R47">
        <f>IF(协调曲线图!$S$29="是，LCO绘图",IF((k0four/((POWER($A47,alfa04))-1)*(t0four/beta04))&gt;Lco瞬跳時間4,k0four/((POWER($A47,alfa04))-1)*(t0four/beta04),Lco瞬跳時間4)," ")</f>
        <v>0.67720587971736945</v>
      </c>
      <c r="S47">
        <f t="shared" si="26"/>
        <v>2500</v>
      </c>
      <c r="T47">
        <f t="shared" si="27"/>
        <v>150</v>
      </c>
      <c r="V47">
        <f t="shared" si="28"/>
        <v>0.85</v>
      </c>
      <c r="W47">
        <f>IF(协调曲线图!$S$36="是，LCO绘图",IF((k0five/((POWER($A47,alfa05))-1)*(t0five/beta05))&gt;Lco瞬跳時間5,k0five/((POWER($A47,alfa05))-1)*(t0five/beta05),Lco瞬跳時間5)," ")</f>
        <v>0.80033422148416389</v>
      </c>
      <c r="X47">
        <f t="shared" si="29"/>
        <v>3000</v>
      </c>
      <c r="Y47">
        <f t="shared" si="30"/>
        <v>150</v>
      </c>
      <c r="AA47">
        <f t="shared" si="31"/>
        <v>1.05</v>
      </c>
      <c r="AB47">
        <f>IF(协调曲线图!$S$43="是，LCO绘图",IF((k0six/((POWER($A47,alfa06))-1)*(t0six/beta06))&gt;Lco瞬跳時間6,k0six/((POWER($A47,alfa06))-1)*(t0six/beta06),Lco瞬跳時間6)," ")</f>
        <v>0.9850267341343556</v>
      </c>
      <c r="AC47">
        <f t="shared" si="32"/>
        <v>5000</v>
      </c>
      <c r="AD47">
        <f t="shared" si="33"/>
        <v>300</v>
      </c>
    </row>
    <row r="48" spans="1:30">
      <c r="A48">
        <v>41</v>
      </c>
      <c r="B48">
        <f t="shared" si="18"/>
        <v>6.1139527843309185E-2</v>
      </c>
      <c r="C48">
        <f>IF(协调曲线图!$S$8="是，LCO绘图",IF((k0one/((POWER($A48,alfa01))-1)*(t0one/beta01))&gt;Lco瞬跳時間1,k0one/((POWER($A48,alfa01))-1)*(t0one/beta01),Lco瞬跳時間1)," ")</f>
        <v>0.30569763921654591</v>
      </c>
      <c r="D48">
        <f t="shared" si="34"/>
        <v>1050</v>
      </c>
      <c r="E48">
        <f t="shared" si="35"/>
        <v>150</v>
      </c>
      <c r="G48">
        <f t="shared" si="19"/>
        <v>0.25</v>
      </c>
      <c r="H48">
        <f>IF(协调曲线图!$S$15="是，LCO绘图",IF((k0two/((POWER($A48,alfa02))-1)*(t0two/beta02))&gt;Lco瞬跳時間2,k0two/((POWER($A48,alfa02))-1)*(t0two/beta02),Lco瞬跳時間2)," ")</f>
        <v>0.42797669490316426</v>
      </c>
      <c r="I48">
        <f t="shared" si="20"/>
        <v>1500</v>
      </c>
      <c r="J48">
        <f t="shared" si="21"/>
        <v>150</v>
      </c>
      <c r="L48">
        <f t="shared" si="22"/>
        <v>0.45</v>
      </c>
      <c r="M48">
        <f>IF(协调曲线图!$S$22="是，LCO绘图",IF((k0three/((POWER($A48,alfa03))-1)*(t0three/beta03))&gt;Lco瞬跳時間3,k0three/((POWER($A48,alfa03))-1)*(t0three/beta03),Lco瞬跳時間3)," ")</f>
        <v>0.55025575058978271</v>
      </c>
      <c r="N48">
        <f t="shared" si="23"/>
        <v>2000</v>
      </c>
      <c r="O48">
        <f t="shared" si="24"/>
        <v>150</v>
      </c>
      <c r="Q48">
        <f t="shared" si="25"/>
        <v>0.65</v>
      </c>
      <c r="R48">
        <f>IF(协调曲线图!$S$29="是，LCO绘图",IF((k0four/((POWER($A48,alfa04))-1)*(t0four/beta04))&gt;Lco瞬跳時間4,k0four/((POWER($A48,alfa04))-1)*(t0four/beta04),Lco瞬跳時間4)," ")</f>
        <v>0.67253480627640105</v>
      </c>
      <c r="S48">
        <f t="shared" si="26"/>
        <v>2500</v>
      </c>
      <c r="T48">
        <f t="shared" si="27"/>
        <v>150</v>
      </c>
      <c r="V48">
        <f t="shared" si="28"/>
        <v>0.85</v>
      </c>
      <c r="W48">
        <f>IF(协调曲线图!$S$36="是，LCO绘图",IF((k0five/((POWER($A48,alfa05))-1)*(t0five/beta05))&gt;Lco瞬跳時間5,k0five/((POWER($A48,alfa05))-1)*(t0five/beta05),Lco瞬跳時間5)," ")</f>
        <v>0.7948138619630194</v>
      </c>
      <c r="X48">
        <f t="shared" si="29"/>
        <v>3000</v>
      </c>
      <c r="Y48">
        <f t="shared" si="30"/>
        <v>150</v>
      </c>
      <c r="AA48">
        <f t="shared" si="31"/>
        <v>1.05</v>
      </c>
      <c r="AB48">
        <f>IF(协调曲线图!$S$43="是，LCO绘图",IF((k0six/((POWER($A48,alfa06))-1)*(t0six/beta06))&gt;Lco瞬跳時間6,k0six/((POWER($A48,alfa06))-1)*(t0six/beta06),Lco瞬跳時間6)," ")</f>
        <v>0.97823244549294697</v>
      </c>
      <c r="AC48">
        <f t="shared" si="32"/>
        <v>5000</v>
      </c>
      <c r="AD48">
        <f t="shared" si="33"/>
        <v>300</v>
      </c>
    </row>
    <row r="49" spans="1:30">
      <c r="A49">
        <v>42</v>
      </c>
      <c r="B49">
        <f t="shared" si="18"/>
        <v>6.0730530189575326E-2</v>
      </c>
      <c r="C49">
        <f>IF(协调曲线图!$S$8="是，LCO绘图",IF((k0one/((POWER($A49,alfa01))-1)*(t0one/beta01))&gt;Lco瞬跳時間1,k0one/((POWER($A49,alfa01))-1)*(t0one/beta01),Lco瞬跳時間1)," ")</f>
        <v>0.30365265094787663</v>
      </c>
      <c r="D49">
        <f t="shared" si="34"/>
        <v>1050</v>
      </c>
      <c r="E49">
        <f t="shared" si="35"/>
        <v>150</v>
      </c>
      <c r="G49">
        <f t="shared" si="19"/>
        <v>0.25</v>
      </c>
      <c r="H49">
        <f>IF(协调曲线图!$S$15="是，LCO绘图",IF((k0two/((POWER($A49,alfa02))-1)*(t0two/beta02))&gt;Lco瞬跳時間2,k0two/((POWER($A49,alfa02))-1)*(t0two/beta02),Lco瞬跳時間2)," ")</f>
        <v>0.42511371132702724</v>
      </c>
      <c r="I49">
        <f t="shared" si="20"/>
        <v>1500</v>
      </c>
      <c r="J49">
        <f t="shared" si="21"/>
        <v>150</v>
      </c>
      <c r="L49">
        <f t="shared" si="22"/>
        <v>0.45</v>
      </c>
      <c r="M49">
        <f>IF(协调曲线图!$S$22="是，LCO绘图",IF((k0three/((POWER($A49,alfa03))-1)*(t0three/beta03))&gt;Lco瞬跳時間3,k0three/((POWER($A49,alfa03))-1)*(t0three/beta03),Lco瞬跳時間3)," ")</f>
        <v>0.54657477170617796</v>
      </c>
      <c r="N49">
        <f t="shared" si="23"/>
        <v>2000</v>
      </c>
      <c r="O49">
        <f t="shared" si="24"/>
        <v>150</v>
      </c>
      <c r="Q49">
        <f t="shared" si="25"/>
        <v>0.65</v>
      </c>
      <c r="R49">
        <f>IF(协调曲线图!$S$29="是，LCO绘图",IF((k0four/((POWER($A49,alfa04))-1)*(t0four/beta04))&gt;Lco瞬跳時間4,k0four/((POWER($A49,alfa04))-1)*(t0four/beta04),Lco瞬跳時間4)," ")</f>
        <v>0.66803583208532857</v>
      </c>
      <c r="S49">
        <f t="shared" si="26"/>
        <v>2500</v>
      </c>
      <c r="T49">
        <f t="shared" si="27"/>
        <v>150</v>
      </c>
      <c r="V49">
        <f t="shared" si="28"/>
        <v>0.85</v>
      </c>
      <c r="W49">
        <f>IF(协调曲线图!$S$36="是，LCO绘图",IF((k0five/((POWER($A49,alfa05))-1)*(t0five/beta05))&gt;Lco瞬跳時間5,k0five/((POWER($A49,alfa05))-1)*(t0five/beta05),Lco瞬跳時間5)," ")</f>
        <v>0.78949689246447929</v>
      </c>
      <c r="X49">
        <f t="shared" si="29"/>
        <v>3000</v>
      </c>
      <c r="Y49">
        <f t="shared" si="30"/>
        <v>150</v>
      </c>
      <c r="AA49">
        <f t="shared" si="31"/>
        <v>1.05</v>
      </c>
      <c r="AB49">
        <f>IF(协调曲线图!$S$43="是，LCO绘图",IF((k0six/((POWER($A49,alfa06))-1)*(t0six/beta06))&gt;Lco瞬跳時間6,k0six/((POWER($A49,alfa06))-1)*(t0six/beta06),Lco瞬跳時間6)," ")</f>
        <v>0.97168848303320521</v>
      </c>
      <c r="AC49">
        <f t="shared" si="32"/>
        <v>5000</v>
      </c>
      <c r="AD49">
        <f t="shared" si="33"/>
        <v>300</v>
      </c>
    </row>
    <row r="50" spans="1:30">
      <c r="A50">
        <v>43</v>
      </c>
      <c r="B50">
        <f t="shared" si="18"/>
        <v>6.0336216509326239E-2</v>
      </c>
      <c r="C50">
        <f>IF(协调曲线图!$S$8="是，LCO绘图",IF((k0one/((POWER($A50,alfa01))-1)*(t0one/beta01))&gt;Lco瞬跳時間1,k0one/((POWER($A50,alfa01))-1)*(t0one/beta01),Lco瞬跳時間1)," ")</f>
        <v>0.30168108254663117</v>
      </c>
      <c r="D50">
        <f t="shared" si="34"/>
        <v>1050</v>
      </c>
      <c r="E50">
        <f t="shared" si="35"/>
        <v>150</v>
      </c>
      <c r="G50">
        <f t="shared" si="19"/>
        <v>0.25</v>
      </c>
      <c r="H50">
        <f>IF(协调曲线图!$S$15="是，LCO绘图",IF((k0two/((POWER($A50,alfa02))-1)*(t0two/beta02))&gt;Lco瞬跳時間2,k0two/((POWER($A50,alfa02))-1)*(t0two/beta02),Lco瞬跳時間2)," ")</f>
        <v>0.42235351556528367</v>
      </c>
      <c r="I50">
        <f t="shared" si="20"/>
        <v>1500</v>
      </c>
      <c r="J50">
        <f t="shared" si="21"/>
        <v>150</v>
      </c>
      <c r="L50">
        <f t="shared" si="22"/>
        <v>0.45</v>
      </c>
      <c r="M50">
        <f>IF(协调曲线图!$S$22="是，LCO绘图",IF((k0three/((POWER($A50,alfa03))-1)*(t0three/beta03))&gt;Lco瞬跳時間3,k0three/((POWER($A50,alfa03))-1)*(t0three/beta03),Lco瞬跳時間3)," ")</f>
        <v>0.54302594858393616</v>
      </c>
      <c r="N50">
        <f t="shared" si="23"/>
        <v>2000</v>
      </c>
      <c r="O50">
        <f t="shared" si="24"/>
        <v>150</v>
      </c>
      <c r="Q50">
        <f t="shared" si="25"/>
        <v>0.65</v>
      </c>
      <c r="R50">
        <f>IF(协调曲线图!$S$29="是，LCO绘图",IF((k0four/((POWER($A50,alfa04))-1)*(t0four/beta04))&gt;Lco瞬跳時間4,k0four/((POWER($A50,alfa04))-1)*(t0four/beta04),Lco瞬跳時間4)," ")</f>
        <v>0.66369838160258865</v>
      </c>
      <c r="S50">
        <f t="shared" si="26"/>
        <v>2500</v>
      </c>
      <c r="T50">
        <f t="shared" si="27"/>
        <v>150</v>
      </c>
      <c r="V50">
        <f t="shared" si="28"/>
        <v>0.85</v>
      </c>
      <c r="W50">
        <f>IF(协调曲线图!$S$36="是，LCO绘图",IF((k0five/((POWER($A50,alfa05))-1)*(t0five/beta05))&gt;Lco瞬跳時間5,k0five/((POWER($A50,alfa05))-1)*(t0five/beta05),Lco瞬跳時間5)," ")</f>
        <v>0.78437081462124114</v>
      </c>
      <c r="X50">
        <f t="shared" si="29"/>
        <v>3000</v>
      </c>
      <c r="Y50">
        <f t="shared" si="30"/>
        <v>150</v>
      </c>
      <c r="AA50">
        <f t="shared" si="31"/>
        <v>1.05</v>
      </c>
      <c r="AB50">
        <f>IF(协调曲线图!$S$43="是，LCO绘图",IF((k0six/((POWER($A50,alfa06))-1)*(t0six/beta06))&gt;Lco瞬跳時間6,k0six/((POWER($A50,alfa06))-1)*(t0six/beta06),Lco瞬跳時間6)," ")</f>
        <v>0.96537946414921982</v>
      </c>
      <c r="AC50">
        <f t="shared" si="32"/>
        <v>5000</v>
      </c>
      <c r="AD50">
        <f t="shared" si="33"/>
        <v>300</v>
      </c>
    </row>
    <row r="51" spans="1:30">
      <c r="A51">
        <v>44</v>
      </c>
      <c r="B51">
        <f t="shared" si="18"/>
        <v>5.9955706493346771E-2</v>
      </c>
      <c r="C51">
        <f>IF(协调曲线图!$S$8="是，LCO绘图",IF((k0one/((POWER($A51,alfa01))-1)*(t0one/beta01))&gt;Lco瞬跳時間1,k0one/((POWER($A51,alfa01))-1)*(t0one/beta01),Lco瞬跳時間1)," ")</f>
        <v>0.2997785324667338</v>
      </c>
      <c r="D51">
        <f t="shared" si="34"/>
        <v>1050</v>
      </c>
      <c r="E51">
        <f t="shared" si="35"/>
        <v>150</v>
      </c>
      <c r="G51">
        <f t="shared" si="19"/>
        <v>0.25</v>
      </c>
      <c r="H51">
        <f>IF(协调曲线图!$S$15="是，LCO绘图",IF((k0two/((POWER($A51,alfa02))-1)*(t0two/beta02))&gt;Lco瞬跳時間2,k0two/((POWER($A51,alfa02))-1)*(t0two/beta02),Lco瞬跳時間2)," ")</f>
        <v>0.41968994545342736</v>
      </c>
      <c r="I51">
        <f t="shared" si="20"/>
        <v>1500</v>
      </c>
      <c r="J51">
        <f t="shared" si="21"/>
        <v>150</v>
      </c>
      <c r="L51">
        <f t="shared" si="22"/>
        <v>0.45</v>
      </c>
      <c r="M51">
        <f>IF(协调曲线图!$S$22="是，LCO绘图",IF((k0three/((POWER($A51,alfa03))-1)*(t0three/beta03))&gt;Lco瞬跳時間3,k0three/((POWER($A51,alfa03))-1)*(t0three/beta03),Lco瞬跳時間3)," ")</f>
        <v>0.53960135844012092</v>
      </c>
      <c r="N51">
        <f t="shared" si="23"/>
        <v>2000</v>
      </c>
      <c r="O51">
        <f t="shared" si="24"/>
        <v>150</v>
      </c>
      <c r="Q51">
        <f t="shared" si="25"/>
        <v>0.65</v>
      </c>
      <c r="R51">
        <f>IF(协调曲线图!$S$29="是，LCO绘图",IF((k0four/((POWER($A51,alfa04))-1)*(t0four/beta04))&gt;Lco瞬跳時間4,k0four/((POWER($A51,alfa04))-1)*(t0four/beta04),Lco瞬跳時間4)," ")</f>
        <v>0.65951277142681441</v>
      </c>
      <c r="S51">
        <f t="shared" si="26"/>
        <v>2500</v>
      </c>
      <c r="T51">
        <f t="shared" si="27"/>
        <v>150</v>
      </c>
      <c r="V51">
        <f t="shared" si="28"/>
        <v>0.85</v>
      </c>
      <c r="W51">
        <f>IF(协调曲线图!$S$36="是，LCO绘图",IF((k0five/((POWER($A51,alfa05))-1)*(t0five/beta05))&gt;Lco瞬跳時間5,k0five/((POWER($A51,alfa05))-1)*(t0five/beta05),Lco瞬跳時間5)," ")</f>
        <v>0.77942418441350803</v>
      </c>
      <c r="X51">
        <f t="shared" si="29"/>
        <v>3000</v>
      </c>
      <c r="Y51">
        <f t="shared" si="30"/>
        <v>150</v>
      </c>
      <c r="AA51">
        <f t="shared" si="31"/>
        <v>1.05</v>
      </c>
      <c r="AB51">
        <f>IF(协调曲线图!$S$43="是，LCO绘图",IF((k0six/((POWER($A51,alfa06))-1)*(t0six/beta06))&gt;Lco瞬跳時間6,k0six/((POWER($A51,alfa06))-1)*(t0six/beta06),Lco瞬跳時間6)," ")</f>
        <v>0.95929130389354833</v>
      </c>
      <c r="AC51">
        <f t="shared" si="32"/>
        <v>5000</v>
      </c>
      <c r="AD51">
        <f t="shared" si="33"/>
        <v>300</v>
      </c>
    </row>
    <row r="52" spans="1:30">
      <c r="A52">
        <v>45</v>
      </c>
      <c r="B52">
        <f t="shared" si="18"/>
        <v>5.9588192341760972E-2</v>
      </c>
      <c r="C52">
        <f>IF(协调曲线图!$S$8="是，LCO绘图",IF((k0one/((POWER($A52,alfa01))-1)*(t0one/beta01))&gt;Lco瞬跳時間1,k0one/((POWER($A52,alfa01))-1)*(t0one/beta01),Lco瞬跳時間1)," ")</f>
        <v>0.29794096170880485</v>
      </c>
      <c r="D52">
        <f t="shared" si="34"/>
        <v>1050</v>
      </c>
      <c r="E52">
        <f t="shared" si="35"/>
        <v>150</v>
      </c>
      <c r="G52">
        <f t="shared" si="19"/>
        <v>0.25</v>
      </c>
      <c r="H52">
        <f>IF(协调曲线图!$S$15="是，LCO绘图",IF((k0two/((POWER($A52,alfa02))-1)*(t0two/beta02))&gt;Lco瞬跳時間2,k0two/((POWER($A52,alfa02))-1)*(t0two/beta02),Lco瞬跳時間2)," ")</f>
        <v>0.41711734639232678</v>
      </c>
      <c r="I52">
        <f t="shared" si="20"/>
        <v>1500</v>
      </c>
      <c r="J52">
        <f t="shared" si="21"/>
        <v>150</v>
      </c>
      <c r="L52">
        <f t="shared" si="22"/>
        <v>0.45</v>
      </c>
      <c r="M52">
        <f>IF(协调曲线图!$S$22="是，LCO绘图",IF((k0three/((POWER($A52,alfa03))-1)*(t0three/beta03))&gt;Lco瞬跳時間3,k0three/((POWER($A52,alfa03))-1)*(t0three/beta03),Lco瞬跳時間3)," ")</f>
        <v>0.53629373107584877</v>
      </c>
      <c r="N52">
        <f t="shared" si="23"/>
        <v>2000</v>
      </c>
      <c r="O52">
        <f t="shared" si="24"/>
        <v>150</v>
      </c>
      <c r="Q52">
        <f t="shared" si="25"/>
        <v>0.65</v>
      </c>
      <c r="R52">
        <f>IF(协调曲线图!$S$29="是，LCO绘图",IF((k0four/((POWER($A52,alfa04))-1)*(t0four/beta04))&gt;Lco瞬跳時間4,k0four/((POWER($A52,alfa04))-1)*(t0four/beta04),Lco瞬跳時間4)," ")</f>
        <v>0.65547011575937064</v>
      </c>
      <c r="S52">
        <f t="shared" si="26"/>
        <v>2500</v>
      </c>
      <c r="T52">
        <f t="shared" si="27"/>
        <v>150</v>
      </c>
      <c r="V52">
        <f t="shared" si="28"/>
        <v>0.85</v>
      </c>
      <c r="W52">
        <f>IF(协调曲线图!$S$36="是，LCO绘图",IF((k0five/((POWER($A52,alfa05))-1)*(t0five/beta05))&gt;Lco瞬跳時間5,k0five/((POWER($A52,alfa05))-1)*(t0five/beta05),Lco瞬跳時間5)," ")</f>
        <v>0.77464650044289263</v>
      </c>
      <c r="X52">
        <f t="shared" si="29"/>
        <v>3000</v>
      </c>
      <c r="Y52">
        <f t="shared" si="30"/>
        <v>150</v>
      </c>
      <c r="AA52">
        <f t="shared" si="31"/>
        <v>1.05</v>
      </c>
      <c r="AB52">
        <f>IF(协调曲线图!$S$43="是，LCO绘图",IF((k0six/((POWER($A52,alfa06))-1)*(t0six/beta06))&gt;Lco瞬跳時間6,k0six/((POWER($A52,alfa06))-1)*(t0six/beta06),Lco瞬跳時間6)," ")</f>
        <v>0.95341107746817555</v>
      </c>
      <c r="AC52">
        <f t="shared" si="32"/>
        <v>5000</v>
      </c>
      <c r="AD52">
        <f t="shared" si="33"/>
        <v>300</v>
      </c>
    </row>
    <row r="53" spans="1:30">
      <c r="A53">
        <v>46</v>
      </c>
      <c r="B53">
        <f t="shared" si="18"/>
        <v>5.9232931256560983E-2</v>
      </c>
      <c r="C53">
        <f>IF(协调曲线图!$S$8="是，LCO绘图",IF((k0one/((POWER($A53,alfa01))-1)*(t0one/beta01))&gt;Lco瞬跳時間1,k0one/((POWER($A53,alfa01))-1)*(t0one/beta01),Lco瞬跳時間1)," ")</f>
        <v>0.29616465628280492</v>
      </c>
      <c r="D53">
        <f t="shared" si="34"/>
        <v>1050</v>
      </c>
      <c r="E53">
        <f t="shared" si="35"/>
        <v>150</v>
      </c>
      <c r="G53">
        <f t="shared" si="19"/>
        <v>0.25</v>
      </c>
      <c r="H53">
        <f>IF(协调曲线图!$S$15="是，LCO绘图",IF((k0two/((POWER($A53,alfa02))-1)*(t0two/beta02))&gt;Lco瞬跳時間2,k0two/((POWER($A53,alfa02))-1)*(t0two/beta02),Lco瞬跳時間2)," ")</f>
        <v>0.41463051879592688</v>
      </c>
      <c r="I53">
        <f t="shared" si="20"/>
        <v>1500</v>
      </c>
      <c r="J53">
        <f t="shared" si="21"/>
        <v>150</v>
      </c>
      <c r="L53">
        <f t="shared" si="22"/>
        <v>0.45</v>
      </c>
      <c r="M53">
        <f>IF(协调曲线图!$S$22="是，LCO绘图",IF((k0three/((POWER($A53,alfa03))-1)*(t0three/beta03))&gt;Lco瞬跳時間3,k0three/((POWER($A53,alfa03))-1)*(t0three/beta03),Lco瞬跳時間3)," ")</f>
        <v>0.53309638130904891</v>
      </c>
      <c r="N53">
        <f t="shared" si="23"/>
        <v>2000</v>
      </c>
      <c r="O53">
        <f t="shared" si="24"/>
        <v>150</v>
      </c>
      <c r="Q53">
        <f t="shared" si="25"/>
        <v>0.65</v>
      </c>
      <c r="R53">
        <f>IF(协调曲线图!$S$29="是，LCO绘图",IF((k0four/((POWER($A53,alfa04))-1)*(t0four/beta04))&gt;Lco瞬跳時間4,k0four/((POWER($A53,alfa04))-1)*(t0four/beta04),Lco瞬跳時間4)," ")</f>
        <v>0.65156224382217087</v>
      </c>
      <c r="S53">
        <f t="shared" si="26"/>
        <v>2500</v>
      </c>
      <c r="T53">
        <f t="shared" si="27"/>
        <v>150</v>
      </c>
      <c r="V53">
        <f t="shared" si="28"/>
        <v>0.85</v>
      </c>
      <c r="W53">
        <f>IF(协调曲线图!$S$36="是，LCO绘图",IF((k0five/((POWER($A53,alfa05))-1)*(t0five/beta05))&gt;Lco瞬跳時間5,k0five/((POWER($A53,alfa05))-1)*(t0five/beta05),Lco瞬跳時間5)," ")</f>
        <v>0.77002810633529284</v>
      </c>
      <c r="X53">
        <f t="shared" si="29"/>
        <v>3000</v>
      </c>
      <c r="Y53">
        <f t="shared" si="30"/>
        <v>150</v>
      </c>
      <c r="AA53">
        <f t="shared" si="31"/>
        <v>1.05</v>
      </c>
      <c r="AB53">
        <f>IF(协调曲线图!$S$43="是，LCO绘图",IF((k0six/((POWER($A53,alfa06))-1)*(t0six/beta06))&gt;Lco瞬跳時間6,k0six/((POWER($A53,alfa06))-1)*(t0six/beta06),Lco瞬跳時間6)," ")</f>
        <v>0.94772690010497573</v>
      </c>
      <c r="AC53">
        <f t="shared" si="32"/>
        <v>5000</v>
      </c>
      <c r="AD53">
        <f t="shared" si="33"/>
        <v>300</v>
      </c>
    </row>
    <row r="54" spans="1:30">
      <c r="A54">
        <v>47</v>
      </c>
      <c r="B54">
        <f t="shared" si="18"/>
        <v>5.8889238862345032E-2</v>
      </c>
      <c r="C54">
        <f>IF(协调曲线图!$S$8="是，LCO绘图",IF((k0one/((POWER($A54,alfa01))-1)*(t0one/beta01))&gt;Lco瞬跳時間1,k0one/((POWER($A54,alfa01))-1)*(t0one/beta01),Lco瞬跳時間1)," ")</f>
        <v>0.29444619431172514</v>
      </c>
      <c r="D54">
        <f t="shared" si="34"/>
        <v>1050</v>
      </c>
      <c r="E54">
        <f t="shared" si="35"/>
        <v>150</v>
      </c>
      <c r="G54">
        <f t="shared" si="19"/>
        <v>0.25</v>
      </c>
      <c r="H54">
        <f>IF(协调曲线图!$S$15="是，LCO绘图",IF((k0two/((POWER($A54,alfa02))-1)*(t0two/beta02))&gt;Lco瞬跳時間2,k0two/((POWER($A54,alfa02))-1)*(t0two/beta02),Lco瞬跳時間2)," ")</f>
        <v>0.41222467203641522</v>
      </c>
      <c r="I54">
        <f t="shared" si="20"/>
        <v>1500</v>
      </c>
      <c r="J54">
        <f t="shared" si="21"/>
        <v>150</v>
      </c>
      <c r="L54">
        <f t="shared" si="22"/>
        <v>0.45</v>
      </c>
      <c r="M54">
        <f>IF(协调曲线图!$S$22="是，LCO绘图",IF((k0three/((POWER($A54,alfa03))-1)*(t0three/beta03))&gt;Lco瞬跳時間3,k0three/((POWER($A54,alfa03))-1)*(t0three/beta03),Lco瞬跳時間3)," ")</f>
        <v>0.5300031497611053</v>
      </c>
      <c r="N54">
        <f t="shared" si="23"/>
        <v>2000</v>
      </c>
      <c r="O54">
        <f t="shared" si="24"/>
        <v>150</v>
      </c>
      <c r="Q54">
        <f t="shared" si="25"/>
        <v>0.65</v>
      </c>
      <c r="R54">
        <f>IF(协调曲线图!$S$29="是，LCO绘图",IF((k0four/((POWER($A54,alfa04))-1)*(t0four/beta04))&gt;Lco瞬跳時間4,k0four/((POWER($A54,alfa04))-1)*(t0four/beta04),Lco瞬跳時間4)," ")</f>
        <v>0.64778162748579537</v>
      </c>
      <c r="S54">
        <f t="shared" si="26"/>
        <v>2500</v>
      </c>
      <c r="T54">
        <f t="shared" si="27"/>
        <v>150</v>
      </c>
      <c r="V54">
        <f t="shared" si="28"/>
        <v>0.85</v>
      </c>
      <c r="W54">
        <f>IF(协调曲线图!$S$36="是，LCO绘图",IF((k0five/((POWER($A54,alfa05))-1)*(t0five/beta05))&gt;Lco瞬跳時間5,k0five/((POWER($A54,alfa05))-1)*(t0five/beta05),Lco瞬跳時間5)," ")</f>
        <v>0.76556010521048545</v>
      </c>
      <c r="X54">
        <f t="shared" si="29"/>
        <v>3000</v>
      </c>
      <c r="Y54">
        <f t="shared" si="30"/>
        <v>150</v>
      </c>
      <c r="AA54">
        <f t="shared" si="31"/>
        <v>1.05</v>
      </c>
      <c r="AB54">
        <f>IF(协调曲线图!$S$43="是，LCO绘图",IF((k0six/((POWER($A54,alfa06))-1)*(t0six/beta06))&gt;Lco瞬跳時間6,k0six/((POWER($A54,alfa06))-1)*(t0six/beta06),Lco瞬跳時間6)," ")</f>
        <v>0.94222782179752052</v>
      </c>
      <c r="AC54">
        <f t="shared" si="32"/>
        <v>5000</v>
      </c>
      <c r="AD54">
        <f t="shared" si="33"/>
        <v>300</v>
      </c>
    </row>
    <row r="55" spans="1:30">
      <c r="A55">
        <v>48</v>
      </c>
      <c r="B55">
        <f t="shared" si="18"/>
        <v>5.8556483422732369E-2</v>
      </c>
      <c r="C55">
        <f>IF(协调曲线图!$S$8="是，LCO绘图",IF((k0one/((POWER($A55,alfa01))-1)*(t0one/beta01))&gt;Lco瞬跳時間1,k0one/((POWER($A55,alfa01))-1)*(t0one/beta01),Lco瞬跳時間1)," ")</f>
        <v>0.29278241711366182</v>
      </c>
      <c r="D55">
        <f t="shared" si="34"/>
        <v>1050</v>
      </c>
      <c r="E55">
        <f t="shared" si="35"/>
        <v>150</v>
      </c>
      <c r="G55">
        <f t="shared" si="19"/>
        <v>0.25</v>
      </c>
      <c r="H55">
        <f>IF(协调曲线图!$S$15="是，LCO绘图",IF((k0two/((POWER($A55,alfa02))-1)*(t0two/beta02))&gt;Lco瞬跳時間2,k0two/((POWER($A55,alfa02))-1)*(t0two/beta02),Lco瞬跳時間2)," ")</f>
        <v>0.40989538395912656</v>
      </c>
      <c r="I55">
        <f t="shared" si="20"/>
        <v>1500</v>
      </c>
      <c r="J55">
        <f t="shared" si="21"/>
        <v>150</v>
      </c>
      <c r="L55">
        <f t="shared" si="22"/>
        <v>0.45</v>
      </c>
      <c r="M55">
        <f>IF(协调曲线图!$S$22="是，LCO绘图",IF((k0three/((POWER($A55,alfa03))-1)*(t0three/beta03))&gt;Lco瞬跳時間3,k0three/((POWER($A55,alfa03))-1)*(t0three/beta03),Lco瞬跳時間3)," ")</f>
        <v>0.52700835080459141</v>
      </c>
      <c r="N55">
        <f t="shared" si="23"/>
        <v>2000</v>
      </c>
      <c r="O55">
        <f t="shared" si="24"/>
        <v>150</v>
      </c>
      <c r="Q55">
        <f t="shared" si="25"/>
        <v>0.65</v>
      </c>
      <c r="R55">
        <f>IF(协调曲线图!$S$29="是，LCO绘图",IF((k0four/((POWER($A55,alfa04))-1)*(t0four/beta04))&gt;Lco瞬跳時間4,k0four/((POWER($A55,alfa04))-1)*(t0four/beta04),Lco瞬跳時間4)," ")</f>
        <v>0.64412131765005609</v>
      </c>
      <c r="S55">
        <f t="shared" si="26"/>
        <v>2500</v>
      </c>
      <c r="T55">
        <f t="shared" si="27"/>
        <v>150</v>
      </c>
      <c r="V55">
        <f t="shared" si="28"/>
        <v>0.85</v>
      </c>
      <c r="W55">
        <f>IF(协调曲线图!$S$36="是，LCO绘图",IF((k0five/((POWER($A55,alfa05))-1)*(t0five/beta05))&gt;Lco瞬跳時間5,k0five/((POWER($A55,alfa05))-1)*(t0five/beta05),Lco瞬跳時間5)," ")</f>
        <v>0.76123428449552089</v>
      </c>
      <c r="X55">
        <f t="shared" si="29"/>
        <v>3000</v>
      </c>
      <c r="Y55">
        <f t="shared" si="30"/>
        <v>150</v>
      </c>
      <c r="AA55">
        <f t="shared" si="31"/>
        <v>1.05</v>
      </c>
      <c r="AB55">
        <f>IF(协调曲线图!$S$43="是，LCO绘图",IF((k0six/((POWER($A55,alfa06))-1)*(t0six/beta06))&gt;Lco瞬跳時間6,k0six/((POWER($A55,alfa06))-1)*(t0six/beta06),Lco瞬跳時間6)," ")</f>
        <v>0.93690373476371791</v>
      </c>
      <c r="AC55">
        <f t="shared" si="32"/>
        <v>5000</v>
      </c>
      <c r="AD55">
        <f t="shared" si="33"/>
        <v>300</v>
      </c>
    </row>
    <row r="56" spans="1:30">
      <c r="A56">
        <v>49</v>
      </c>
      <c r="B56">
        <f t="shared" si="18"/>
        <v>5.8234080741266771E-2</v>
      </c>
      <c r="C56">
        <f>IF(协调曲线图!$S$8="是，LCO绘图",IF((k0one/((POWER($A56,alfa01))-1)*(t0one/beta01))&gt;Lco瞬跳時間1,k0one/((POWER($A56,alfa01))-1)*(t0one/beta01),Lco瞬跳時間1)," ")</f>
        <v>0.29117040370633385</v>
      </c>
      <c r="D56">
        <f t="shared" si="34"/>
        <v>1050</v>
      </c>
      <c r="E56">
        <f t="shared" si="35"/>
        <v>150</v>
      </c>
      <c r="G56">
        <f t="shared" si="19"/>
        <v>0.25</v>
      </c>
      <c r="H56">
        <f>IF(协调曲线图!$S$15="是，LCO绘图",IF((k0two/((POWER($A56,alfa02))-1)*(t0two/beta02))&gt;Lco瞬跳時間2,k0two/((POWER($A56,alfa02))-1)*(t0two/beta02),Lco瞬跳時間2)," ")</f>
        <v>0.40763856518886737</v>
      </c>
      <c r="I56">
        <f t="shared" si="20"/>
        <v>1500</v>
      </c>
      <c r="J56">
        <f t="shared" si="21"/>
        <v>150</v>
      </c>
      <c r="L56">
        <f t="shared" si="22"/>
        <v>0.45</v>
      </c>
      <c r="M56">
        <f>IF(协调曲线图!$S$22="是，LCO绘图",IF((k0three/((POWER($A56,alfa03))-1)*(t0three/beta03))&gt;Lco瞬跳時間3,k0three/((POWER($A56,alfa03))-1)*(t0three/beta03),Lco瞬跳時間3)," ")</f>
        <v>0.52410672667140101</v>
      </c>
      <c r="N56">
        <f t="shared" si="23"/>
        <v>2000</v>
      </c>
      <c r="O56">
        <f t="shared" si="24"/>
        <v>150</v>
      </c>
      <c r="Q56">
        <f t="shared" si="25"/>
        <v>0.65</v>
      </c>
      <c r="R56">
        <f>IF(协调曲线图!$S$29="是，LCO绘图",IF((k0four/((POWER($A56,alfa04))-1)*(t0four/beta04))&gt;Lco瞬跳時間4,k0four/((POWER($A56,alfa04))-1)*(t0four/beta04),Lco瞬跳時間4)," ")</f>
        <v>0.64057488815393449</v>
      </c>
      <c r="S56">
        <f t="shared" si="26"/>
        <v>2500</v>
      </c>
      <c r="T56">
        <f t="shared" si="27"/>
        <v>150</v>
      </c>
      <c r="V56">
        <f t="shared" si="28"/>
        <v>0.85</v>
      </c>
      <c r="W56">
        <f>IF(协调曲线图!$S$36="是，LCO绘图",IF((k0five/((POWER($A56,alfa05))-1)*(t0five/beta05))&gt;Lco瞬跳時間5,k0five/((POWER($A56,alfa05))-1)*(t0five/beta05),Lco瞬跳時間5)," ")</f>
        <v>0.75704304963646807</v>
      </c>
      <c r="X56">
        <f t="shared" si="29"/>
        <v>3000</v>
      </c>
      <c r="Y56">
        <f t="shared" si="30"/>
        <v>150</v>
      </c>
      <c r="AA56">
        <f t="shared" si="31"/>
        <v>1.05</v>
      </c>
      <c r="AB56">
        <f>IF(协调曲线图!$S$43="是，LCO绘图",IF((k0six/((POWER($A56,alfa06))-1)*(t0six/beta06))&gt;Lco瞬跳時間6,k0six/((POWER($A56,alfa06))-1)*(t0six/beta06),Lco瞬跳時間6)," ")</f>
        <v>0.93174529186026833</v>
      </c>
      <c r="AC56">
        <f t="shared" si="32"/>
        <v>5000</v>
      </c>
      <c r="AD56">
        <f t="shared" si="33"/>
        <v>300</v>
      </c>
    </row>
    <row r="57" spans="1:30">
      <c r="A57">
        <v>50</v>
      </c>
      <c r="B57">
        <f t="shared" si="18"/>
        <v>5.7921489653158194E-2</v>
      </c>
      <c r="C57">
        <f>IF(协调曲线图!$S$8="是，LCO绘图",IF((k0one/((POWER($A57,alfa01))-1)*(t0one/beta01))&gt;Lco瞬跳時間1,k0one/((POWER($A57,alfa01))-1)*(t0one/beta01),Lco瞬跳時間1)," ")</f>
        <v>0.28960744826579093</v>
      </c>
      <c r="D57">
        <f t="shared" si="34"/>
        <v>1050</v>
      </c>
      <c r="E57">
        <f t="shared" si="35"/>
        <v>150</v>
      </c>
      <c r="G57">
        <f t="shared" si="19"/>
        <v>0.25</v>
      </c>
      <c r="H57">
        <f>IF(协调曲线图!$S$15="是，LCO绘图",IF((k0two/((POWER($A57,alfa02))-1)*(t0two/beta02))&gt;Lco瞬跳時間2,k0two/((POWER($A57,alfa02))-1)*(t0two/beta02),Lco瞬跳時間2)," ")</f>
        <v>0.40545042757210731</v>
      </c>
      <c r="I57">
        <f t="shared" si="20"/>
        <v>1500</v>
      </c>
      <c r="J57">
        <f t="shared" si="21"/>
        <v>150</v>
      </c>
      <c r="L57">
        <f t="shared" si="22"/>
        <v>0.45</v>
      </c>
      <c r="M57">
        <f>IF(协调曲线图!$S$22="是，LCO绘图",IF((k0three/((POWER($A57,alfa03))-1)*(t0three/beta03))&gt;Lco瞬跳時間3,k0three/((POWER($A57,alfa03))-1)*(t0three/beta03),Lco瞬跳時間3)," ")</f>
        <v>0.52129340687842374</v>
      </c>
      <c r="N57">
        <f t="shared" si="23"/>
        <v>2000</v>
      </c>
      <c r="O57">
        <f t="shared" si="24"/>
        <v>150</v>
      </c>
      <c r="Q57">
        <f t="shared" si="25"/>
        <v>0.65</v>
      </c>
      <c r="R57">
        <f>IF(协调曲线图!$S$29="是，LCO绘图",IF((k0four/((POWER($A57,alfa04))-1)*(t0four/beta04))&gt;Lco瞬跳時間4,k0four/((POWER($A57,alfa04))-1)*(t0four/beta04),Lco瞬跳時間4)," ")</f>
        <v>0.63713638618474011</v>
      </c>
      <c r="S57">
        <f t="shared" si="26"/>
        <v>2500</v>
      </c>
      <c r="T57">
        <f t="shared" si="27"/>
        <v>150</v>
      </c>
      <c r="V57">
        <f t="shared" si="28"/>
        <v>0.85</v>
      </c>
      <c r="W57">
        <f>IF(协调曲线图!$S$36="是，LCO绘图",IF((k0five/((POWER($A57,alfa05))-1)*(t0five/beta05))&gt;Lco瞬跳時間5,k0five/((POWER($A57,alfa05))-1)*(t0five/beta05),Lco瞬跳時間5)," ")</f>
        <v>0.75297936549105648</v>
      </c>
      <c r="X57">
        <f t="shared" si="29"/>
        <v>3000</v>
      </c>
      <c r="Y57">
        <f t="shared" si="30"/>
        <v>150</v>
      </c>
      <c r="AA57">
        <f t="shared" si="31"/>
        <v>1.05</v>
      </c>
      <c r="AB57">
        <f>IF(协调曲线图!$S$43="是，LCO绘图",IF((k0six/((POWER($A57,alfa06))-1)*(t0six/beta06))&gt;Lco瞬跳時間6,k0six/((POWER($A57,alfa06))-1)*(t0six/beta06),Lco瞬跳時間6)," ")</f>
        <v>0.9267438344505311</v>
      </c>
      <c r="AC57">
        <f t="shared" si="32"/>
        <v>5000</v>
      </c>
      <c r="AD57">
        <f t="shared" si="33"/>
        <v>300</v>
      </c>
    </row>
    <row r="58" spans="1:30">
      <c r="A58">
        <v>51</v>
      </c>
      <c r="B58">
        <f t="shared" si="18"/>
        <v>5.761820802867737E-2</v>
      </c>
      <c r="C58">
        <f>IF(协调曲线图!$S$8="是，LCO绘图",IF((k0one/((POWER($A58,alfa01))-1)*(t0one/beta01))&gt;Lco瞬跳時間1,k0one/((POWER($A58,alfa01))-1)*(t0one/beta01),Lco瞬跳時間1)," ")</f>
        <v>0.28809104014338682</v>
      </c>
      <c r="D58">
        <f t="shared" si="34"/>
        <v>1050</v>
      </c>
      <c r="E58">
        <f t="shared" si="35"/>
        <v>150</v>
      </c>
      <c r="G58">
        <f t="shared" si="19"/>
        <v>0.25</v>
      </c>
      <c r="H58">
        <f>IF(协调曲线图!$S$15="是，LCO绘图",IF((k0two/((POWER($A58,alfa02))-1)*(t0two/beta02))&gt;Lco瞬跳時間2,k0two/((POWER($A58,alfa02))-1)*(t0two/beta02),Lco瞬跳時間2)," ")</f>
        <v>0.40332745620074156</v>
      </c>
      <c r="I58">
        <f t="shared" si="20"/>
        <v>1500</v>
      </c>
      <c r="J58">
        <f t="shared" si="21"/>
        <v>150</v>
      </c>
      <c r="L58">
        <f t="shared" si="22"/>
        <v>0.45</v>
      </c>
      <c r="M58">
        <f>IF(协调曲线图!$S$22="是，LCO绘图",IF((k0three/((POWER($A58,alfa03))-1)*(t0three/beta03))&gt;Lco瞬跳時間3,k0three/((POWER($A58,alfa03))-1)*(t0three/beta03),Lco瞬跳時間3)," ")</f>
        <v>0.51856387225809641</v>
      </c>
      <c r="N58">
        <f t="shared" si="23"/>
        <v>2000</v>
      </c>
      <c r="O58">
        <f t="shared" si="24"/>
        <v>150</v>
      </c>
      <c r="Q58">
        <f t="shared" si="25"/>
        <v>0.65</v>
      </c>
      <c r="R58">
        <f>IF(协调曲线图!$S$29="是，LCO绘图",IF((k0four/((POWER($A58,alfa04))-1)*(t0four/beta04))&gt;Lco瞬跳時間4,k0four/((POWER($A58,alfa04))-1)*(t0four/beta04),Lco瞬跳時間4)," ")</f>
        <v>0.6338002883154511</v>
      </c>
      <c r="S58">
        <f t="shared" si="26"/>
        <v>2500</v>
      </c>
      <c r="T58">
        <f t="shared" si="27"/>
        <v>150</v>
      </c>
      <c r="V58">
        <f t="shared" si="28"/>
        <v>0.85</v>
      </c>
      <c r="W58">
        <f>IF(协调曲线图!$S$36="是，LCO绘图",IF((k0five/((POWER($A58,alfa05))-1)*(t0five/beta05))&gt;Lco瞬跳時間5,k0five/((POWER($A58,alfa05))-1)*(t0five/beta05),Lco瞬跳時間5)," ")</f>
        <v>0.74903670437280589</v>
      </c>
      <c r="X58">
        <f t="shared" si="29"/>
        <v>3000</v>
      </c>
      <c r="Y58">
        <f t="shared" si="30"/>
        <v>150</v>
      </c>
      <c r="AA58">
        <f t="shared" si="31"/>
        <v>1.05</v>
      </c>
      <c r="AB58">
        <f>IF(协调曲线图!$S$43="是，LCO绘图",IF((k0six/((POWER($A58,alfa06))-1)*(t0six/beta06))&gt;Lco瞬跳時間6,k0six/((POWER($A58,alfa06))-1)*(t0six/beta06),Lco瞬跳時間6)," ")</f>
        <v>0.92189132845883792</v>
      </c>
      <c r="AC58">
        <f t="shared" si="32"/>
        <v>5000</v>
      </c>
      <c r="AD58">
        <f t="shared" si="33"/>
        <v>300</v>
      </c>
    </row>
    <row r="59" spans="1:30">
      <c r="A59">
        <v>52</v>
      </c>
      <c r="B59">
        <f t="shared" si="18"/>
        <v>5.7323769221005814E-2</v>
      </c>
      <c r="C59">
        <f>IF(协调曲线图!$S$8="是，LCO绘图",IF((k0one/((POWER($A59,alfa01))-1)*(t0one/beta01))&gt;Lco瞬跳時間1,k0one/((POWER($A59,alfa01))-1)*(t0one/beta01),Lco瞬跳時間1)," ")</f>
        <v>0.28661884610502908</v>
      </c>
      <c r="D59">
        <f t="shared" si="34"/>
        <v>1050</v>
      </c>
      <c r="E59">
        <f t="shared" si="35"/>
        <v>150</v>
      </c>
      <c r="G59">
        <f t="shared" si="19"/>
        <v>0.25</v>
      </c>
      <c r="H59">
        <f>IF(协调曲线图!$S$15="是，LCO绘图",IF((k0two/((POWER($A59,alfa02))-1)*(t0two/beta02))&gt;Lco瞬跳時間2,k0two/((POWER($A59,alfa02))-1)*(t0two/beta02),Lco瞬跳時間2)," ")</f>
        <v>0.40126638454704067</v>
      </c>
      <c r="I59">
        <f t="shared" si="20"/>
        <v>1500</v>
      </c>
      <c r="J59">
        <f t="shared" si="21"/>
        <v>150</v>
      </c>
      <c r="L59">
        <f t="shared" si="22"/>
        <v>0.45</v>
      </c>
      <c r="M59">
        <f>IF(协调曲线图!$S$22="是，LCO绘图",IF((k0three/((POWER($A59,alfa03))-1)*(t0three/beta03))&gt;Lco瞬跳時間3,k0three/((POWER($A59,alfa03))-1)*(t0three/beta03),Lco瞬跳時間3)," ")</f>
        <v>0.51591392298905236</v>
      </c>
      <c r="N59">
        <f t="shared" si="23"/>
        <v>2000</v>
      </c>
      <c r="O59">
        <f t="shared" si="24"/>
        <v>150</v>
      </c>
      <c r="Q59">
        <f t="shared" si="25"/>
        <v>0.65</v>
      </c>
      <c r="R59">
        <f>IF(协调曲线图!$S$29="是，LCO绘图",IF((k0four/((POWER($A59,alfa04))-1)*(t0four/beta04))&gt;Lco瞬跳時間4,k0four/((POWER($A59,alfa04))-1)*(t0four/beta04),Lco瞬跳時間4)," ")</f>
        <v>0.63056146143106395</v>
      </c>
      <c r="S59">
        <f t="shared" si="26"/>
        <v>2500</v>
      </c>
      <c r="T59">
        <f t="shared" si="27"/>
        <v>150</v>
      </c>
      <c r="V59">
        <f t="shared" si="28"/>
        <v>0.85</v>
      </c>
      <c r="W59">
        <f>IF(协调曲线图!$S$36="是，LCO绘图",IF((k0five/((POWER($A59,alfa05))-1)*(t0five/beta05))&gt;Lco瞬跳時間5,k0five/((POWER($A59,alfa05))-1)*(t0five/beta05),Lco瞬跳時間5)," ")</f>
        <v>0.74520899987307565</v>
      </c>
      <c r="X59">
        <f t="shared" si="29"/>
        <v>3000</v>
      </c>
      <c r="Y59">
        <f t="shared" si="30"/>
        <v>150</v>
      </c>
      <c r="AA59">
        <f t="shared" si="31"/>
        <v>1.05</v>
      </c>
      <c r="AB59">
        <f>IF(协调曲线图!$S$43="是，LCO绘图",IF((k0six/((POWER($A59,alfa06))-1)*(t0six/beta06))&gt;Lco瞬跳時間6,k0six/((POWER($A59,alfa06))-1)*(t0six/beta06),Lco瞬跳時間6)," ")</f>
        <v>0.91718030753609303</v>
      </c>
      <c r="AC59">
        <f t="shared" si="32"/>
        <v>5000</v>
      </c>
      <c r="AD59">
        <f t="shared" si="33"/>
        <v>300</v>
      </c>
    </row>
    <row r="60" spans="1:30">
      <c r="A60">
        <v>53</v>
      </c>
      <c r="B60">
        <f t="shared" si="18"/>
        <v>5.7037738901320578E-2</v>
      </c>
      <c r="C60">
        <f>IF(协调曲线图!$S$8="是，LCO绘图",IF((k0one/((POWER($A60,alfa01))-1)*(t0one/beta01))&gt;Lco瞬跳時間1,k0one/((POWER($A60,alfa01))-1)*(t0one/beta01),Lco瞬跳時間1)," ")</f>
        <v>0.28518869450660284</v>
      </c>
      <c r="D60">
        <f t="shared" si="34"/>
        <v>1050</v>
      </c>
      <c r="E60">
        <f t="shared" si="35"/>
        <v>150</v>
      </c>
      <c r="G60">
        <f t="shared" si="19"/>
        <v>0.25</v>
      </c>
      <c r="H60">
        <f>IF(协调曲线图!$S$15="是，LCO绘图",IF((k0two/((POWER($A60,alfa02))-1)*(t0two/beta02))&gt;Lco瞬跳時間2,k0two/((POWER($A60,alfa02))-1)*(t0two/beta02),Lco瞬跳時間2)," ")</f>
        <v>0.39926417230924399</v>
      </c>
      <c r="I60">
        <f t="shared" si="20"/>
        <v>1500</v>
      </c>
      <c r="J60">
        <f t="shared" si="21"/>
        <v>150</v>
      </c>
      <c r="L60">
        <f t="shared" si="22"/>
        <v>0.45</v>
      </c>
      <c r="M60">
        <f>IF(协调曲线图!$S$22="是，LCO绘图",IF((k0three/((POWER($A60,alfa03))-1)*(t0three/beta03))&gt;Lco瞬跳時間3,k0three/((POWER($A60,alfa03))-1)*(t0three/beta03),Lco瞬跳時間3)," ")</f>
        <v>0.5133396501118852</v>
      </c>
      <c r="N60">
        <f t="shared" si="23"/>
        <v>2000</v>
      </c>
      <c r="O60">
        <f t="shared" si="24"/>
        <v>150</v>
      </c>
      <c r="Q60">
        <f t="shared" si="25"/>
        <v>0.65</v>
      </c>
      <c r="R60">
        <f>IF(协调曲线图!$S$29="是，LCO绘图",IF((k0four/((POWER($A60,alfa04))-1)*(t0four/beta04))&gt;Lco瞬跳時間4,k0four/((POWER($A60,alfa04))-1)*(t0four/beta04),Lco瞬跳時間4)," ")</f>
        <v>0.62741512791452636</v>
      </c>
      <c r="S60">
        <f t="shared" si="26"/>
        <v>2500</v>
      </c>
      <c r="T60">
        <f t="shared" si="27"/>
        <v>150</v>
      </c>
      <c r="V60">
        <f t="shared" si="28"/>
        <v>0.85</v>
      </c>
      <c r="W60">
        <f>IF(协调曲线图!$S$36="是，LCO绘图",IF((k0five/((POWER($A60,alfa05))-1)*(t0five/beta05))&gt;Lco瞬跳時間5,k0five/((POWER($A60,alfa05))-1)*(t0five/beta05),Lco瞬跳時間5)," ")</f>
        <v>0.74149060571716752</v>
      </c>
      <c r="X60">
        <f t="shared" si="29"/>
        <v>3000</v>
      </c>
      <c r="Y60">
        <f t="shared" si="30"/>
        <v>150</v>
      </c>
      <c r="AA60">
        <f t="shared" si="31"/>
        <v>1.05</v>
      </c>
      <c r="AB60">
        <f>IF(协调曲线图!$S$43="是，LCO绘图",IF((k0six/((POWER($A60,alfa06))-1)*(t0six/beta06))&gt;Lco瞬跳時間6,k0six/((POWER($A60,alfa06))-1)*(t0six/beta06),Lco瞬跳時間6)," ")</f>
        <v>0.91260382242112925</v>
      </c>
      <c r="AC60">
        <f t="shared" si="32"/>
        <v>5000</v>
      </c>
      <c r="AD60">
        <f t="shared" si="33"/>
        <v>300</v>
      </c>
    </row>
    <row r="61" spans="1:30">
      <c r="A61">
        <v>54</v>
      </c>
      <c r="B61">
        <f t="shared" si="18"/>
        <v>5.6759712232216868E-2</v>
      </c>
      <c r="C61">
        <f>IF(协调曲线图!$S$8="是，LCO绘图",IF((k0one/((POWER($A61,alfa01))-1)*(t0one/beta01))&gt;Lco瞬跳時間1,k0one/((POWER($A61,alfa01))-1)*(t0one/beta01),Lco瞬跳時間1)," ")</f>
        <v>0.28379856116108432</v>
      </c>
      <c r="D61">
        <f t="shared" si="34"/>
        <v>1050</v>
      </c>
      <c r="E61">
        <f t="shared" si="35"/>
        <v>150</v>
      </c>
      <c r="G61">
        <f t="shared" si="19"/>
        <v>0.25</v>
      </c>
      <c r="H61">
        <f>IF(协调曲线图!$S$15="是，LCO绘图",IF((k0two/((POWER($A61,alfa02))-1)*(t0two/beta02))&gt;Lco瞬跳時間2,k0two/((POWER($A61,alfa02))-1)*(t0two/beta02),Lco瞬跳時間2)," ")</f>
        <v>0.39731798562551807</v>
      </c>
      <c r="I61">
        <f t="shared" si="20"/>
        <v>1500</v>
      </c>
      <c r="J61">
        <f t="shared" si="21"/>
        <v>150</v>
      </c>
      <c r="L61">
        <f t="shared" si="22"/>
        <v>0.45</v>
      </c>
      <c r="M61">
        <f>IF(协调曲线图!$S$22="是，LCO绘图",IF((k0three/((POWER($A61,alfa03))-1)*(t0three/beta03))&gt;Lco瞬跳時間3,k0three/((POWER($A61,alfa03))-1)*(t0three/beta03),Lco瞬跳時間3)," ")</f>
        <v>0.51083741008995187</v>
      </c>
      <c r="N61">
        <f t="shared" si="23"/>
        <v>2000</v>
      </c>
      <c r="O61">
        <f t="shared" si="24"/>
        <v>150</v>
      </c>
      <c r="Q61">
        <f t="shared" si="25"/>
        <v>0.65</v>
      </c>
      <c r="R61">
        <f>IF(协调曲线图!$S$29="是，LCO绘图",IF((k0four/((POWER($A61,alfa04))-1)*(t0four/beta04))&gt;Lco瞬跳時間4,k0four/((POWER($A61,alfa04))-1)*(t0four/beta04),Lco瞬跳時間4)," ")</f>
        <v>0.62435683455438551</v>
      </c>
      <c r="S61">
        <f t="shared" si="26"/>
        <v>2500</v>
      </c>
      <c r="T61">
        <f t="shared" si="27"/>
        <v>150</v>
      </c>
      <c r="V61">
        <f t="shared" si="28"/>
        <v>0.85</v>
      </c>
      <c r="W61">
        <f>IF(协调曲线图!$S$36="是，LCO绘图",IF((k0five/((POWER($A61,alfa05))-1)*(t0five/beta05))&gt;Lco瞬跳時間5,k0five/((POWER($A61,alfa05))-1)*(t0five/beta05),Lco瞬跳時間5)," ")</f>
        <v>0.73787625901881937</v>
      </c>
      <c r="X61">
        <f t="shared" si="29"/>
        <v>3000</v>
      </c>
      <c r="Y61">
        <f t="shared" si="30"/>
        <v>150</v>
      </c>
      <c r="AA61">
        <f t="shared" si="31"/>
        <v>1.05</v>
      </c>
      <c r="AB61">
        <f>IF(协调曲线图!$S$43="是，LCO绘图",IF((k0six/((POWER($A61,alfa06))-1)*(t0six/beta06))&gt;Lco瞬跳時間6,k0six/((POWER($A61,alfa06))-1)*(t0six/beta06),Lco瞬跳時間6)," ")</f>
        <v>0.90815539571546988</v>
      </c>
      <c r="AC61">
        <f t="shared" si="32"/>
        <v>5000</v>
      </c>
      <c r="AD61">
        <f t="shared" si="33"/>
        <v>300</v>
      </c>
    </row>
    <row r="62" spans="1:30">
      <c r="A62">
        <v>55</v>
      </c>
      <c r="B62">
        <f t="shared" si="18"/>
        <v>5.6489311337561333E-2</v>
      </c>
      <c r="C62">
        <f>IF(协调曲线图!$S$8="是，LCO绘图",IF((k0one/((POWER($A62,alfa01))-1)*(t0one/beta01))&gt;Lco瞬跳時間1,k0one/((POWER($A62,alfa01))-1)*(t0one/beta01),Lco瞬跳時間1)," ")</f>
        <v>0.28244655668780666</v>
      </c>
      <c r="D62">
        <f t="shared" si="34"/>
        <v>1050</v>
      </c>
      <c r="E62">
        <f t="shared" si="35"/>
        <v>150</v>
      </c>
      <c r="G62">
        <f t="shared" si="19"/>
        <v>0.25</v>
      </c>
      <c r="H62">
        <f>IF(协调曲线图!$S$15="是，LCO绘图",IF((k0two/((POWER($A62,alfa02))-1)*(t0two/beta02))&gt;Lco瞬跳時間2,k0two/((POWER($A62,alfa02))-1)*(t0two/beta02),Lco瞬跳時間2)," ")</f>
        <v>0.39542517936292931</v>
      </c>
      <c r="I62">
        <f t="shared" si="20"/>
        <v>1500</v>
      </c>
      <c r="J62">
        <f t="shared" si="21"/>
        <v>150</v>
      </c>
      <c r="L62">
        <f t="shared" si="22"/>
        <v>0.45</v>
      </c>
      <c r="M62">
        <f>IF(协调曲线图!$S$22="是，LCO绘图",IF((k0three/((POWER($A62,alfa03))-1)*(t0three/beta03))&gt;Lco瞬跳時間3,k0three/((POWER($A62,alfa03))-1)*(t0three/beta03),Lco瞬跳時間3)," ")</f>
        <v>0.50840380203805202</v>
      </c>
      <c r="N62">
        <f t="shared" si="23"/>
        <v>2000</v>
      </c>
      <c r="O62">
        <f t="shared" si="24"/>
        <v>150</v>
      </c>
      <c r="Q62">
        <f t="shared" si="25"/>
        <v>0.65</v>
      </c>
      <c r="R62">
        <f>IF(协调曲线图!$S$29="是，LCO绘图",IF((k0four/((POWER($A62,alfa04))-1)*(t0four/beta04))&gt;Lco瞬跳時間4,k0four/((POWER($A62,alfa04))-1)*(t0four/beta04),Lco瞬跳時間4)," ")</f>
        <v>0.62138242471317462</v>
      </c>
      <c r="S62">
        <f t="shared" si="26"/>
        <v>2500</v>
      </c>
      <c r="T62">
        <f t="shared" si="27"/>
        <v>150</v>
      </c>
      <c r="V62">
        <f t="shared" si="28"/>
        <v>0.85</v>
      </c>
      <c r="W62">
        <f>IF(协调曲线图!$S$36="是，LCO绘图",IF((k0five/((POWER($A62,alfa05))-1)*(t0five/beta05))&gt;Lco瞬跳時間5,k0five/((POWER($A62,alfa05))-1)*(t0five/beta05),Lco瞬跳時間5)," ")</f>
        <v>0.73436104738829744</v>
      </c>
      <c r="X62">
        <f t="shared" si="29"/>
        <v>3000</v>
      </c>
      <c r="Y62">
        <f t="shared" si="30"/>
        <v>150</v>
      </c>
      <c r="AA62">
        <f t="shared" si="31"/>
        <v>1.05</v>
      </c>
      <c r="AB62">
        <f>IF(协调曲线图!$S$43="是，LCO绘图",IF((k0six/((POWER($A62,alfa06))-1)*(t0six/beta06))&gt;Lco瞬跳時間6,k0six/((POWER($A62,alfa06))-1)*(t0six/beta06),Lco瞬跳時間6)," ")</f>
        <v>0.90382898140098133</v>
      </c>
      <c r="AC62">
        <f t="shared" si="32"/>
        <v>5000</v>
      </c>
      <c r="AD62">
        <f t="shared" si="33"/>
        <v>300</v>
      </c>
    </row>
    <row r="63" spans="1:30">
      <c r="A63">
        <v>56</v>
      </c>
      <c r="B63">
        <f t="shared" si="18"/>
        <v>5.6226183032736431E-2</v>
      </c>
      <c r="C63">
        <f>IF(协调曲线图!$S$8="是，LCO绘图",IF((k0one/((POWER($A63,alfa01))-1)*(t0one/beta01))&gt;Lco瞬跳時間1,k0one/((POWER($A63,alfa01))-1)*(t0one/beta01),Lco瞬跳時間1)," ")</f>
        <v>0.28113091516368216</v>
      </c>
      <c r="D63">
        <f t="shared" si="34"/>
        <v>1050</v>
      </c>
      <c r="E63">
        <f t="shared" si="35"/>
        <v>150</v>
      </c>
      <c r="G63">
        <f t="shared" si="19"/>
        <v>0.25</v>
      </c>
      <c r="H63">
        <f>IF(协调曲线图!$S$15="是，LCO绘图",IF((k0two/((POWER($A63,alfa02))-1)*(t0two/beta02))&gt;Lco瞬跳時間2,k0two/((POWER($A63,alfa02))-1)*(t0two/beta02),Lco瞬跳時間2)," ")</f>
        <v>0.39358328122915498</v>
      </c>
      <c r="I63">
        <f t="shared" si="20"/>
        <v>1500</v>
      </c>
      <c r="J63">
        <f t="shared" si="21"/>
        <v>150</v>
      </c>
      <c r="L63">
        <f t="shared" si="22"/>
        <v>0.45</v>
      </c>
      <c r="M63">
        <f>IF(协调曲线图!$S$22="是，LCO绘图",IF((k0three/((POWER($A63,alfa03))-1)*(t0three/beta03))&gt;Lco瞬跳時間3,k0three/((POWER($A63,alfa03))-1)*(t0three/beta03),Lco瞬跳時間3)," ")</f>
        <v>0.50603564729462791</v>
      </c>
      <c r="N63">
        <f t="shared" si="23"/>
        <v>2000</v>
      </c>
      <c r="O63">
        <f t="shared" si="24"/>
        <v>150</v>
      </c>
      <c r="Q63">
        <f t="shared" si="25"/>
        <v>0.65</v>
      </c>
      <c r="R63">
        <f>IF(协调曲线图!$S$29="是，LCO绘图",IF((k0four/((POWER($A63,alfa04))-1)*(t0four/beta04))&gt;Lco瞬跳時間4,k0four/((POWER($A63,alfa04))-1)*(t0four/beta04),Lco瞬跳時間4)," ")</f>
        <v>0.61848801336010073</v>
      </c>
      <c r="S63">
        <f t="shared" si="26"/>
        <v>2500</v>
      </c>
      <c r="T63">
        <f t="shared" si="27"/>
        <v>150</v>
      </c>
      <c r="V63">
        <f t="shared" si="28"/>
        <v>0.85</v>
      </c>
      <c r="W63">
        <f>IF(协调曲线图!$S$36="是，LCO绘图",IF((k0five/((POWER($A63,alfa05))-1)*(t0five/beta05))&gt;Lco瞬跳時間5,k0five/((POWER($A63,alfa05))-1)*(t0five/beta05),Lco瞬跳時間5)," ")</f>
        <v>0.73094037942557366</v>
      </c>
      <c r="X63">
        <f t="shared" si="29"/>
        <v>3000</v>
      </c>
      <c r="Y63">
        <f t="shared" si="30"/>
        <v>150</v>
      </c>
      <c r="AA63">
        <f t="shared" si="31"/>
        <v>1.05</v>
      </c>
      <c r="AB63">
        <f>IF(协调曲线图!$S$43="是，LCO绘图",IF((k0six/((POWER($A63,alfa06))-1)*(t0six/beta06))&gt;Lco瞬跳時間6,k0six/((POWER($A63,alfa06))-1)*(t0six/beta06),Lco瞬跳時間6)," ")</f>
        <v>0.89961892852378289</v>
      </c>
      <c r="AC63">
        <f t="shared" si="32"/>
        <v>5000</v>
      </c>
      <c r="AD63">
        <f t="shared" si="33"/>
        <v>300</v>
      </c>
    </row>
    <row r="64" spans="1:30">
      <c r="A64">
        <v>57</v>
      </c>
      <c r="B64">
        <f t="shared" si="18"/>
        <v>5.5969996784200345E-2</v>
      </c>
      <c r="C64">
        <f>IF(协调曲线图!$S$8="是，LCO绘图",IF((k0one/((POWER($A64,alfa01))-1)*(t0one/beta01))&gt;Lco瞬跳時間1,k0one/((POWER($A64,alfa01))-1)*(t0one/beta01),Lco瞬跳時間1)," ")</f>
        <v>0.27984998392100169</v>
      </c>
      <c r="D64">
        <f t="shared" si="34"/>
        <v>1050</v>
      </c>
      <c r="E64">
        <f t="shared" si="35"/>
        <v>150</v>
      </c>
      <c r="G64">
        <f t="shared" si="19"/>
        <v>0.25</v>
      </c>
      <c r="H64">
        <f>IF(协调曲线图!$S$15="是，LCO绘图",IF((k0two/((POWER($A64,alfa02))-1)*(t0two/beta02))&gt;Lco瞬跳時間2,k0two/((POWER($A64,alfa02))-1)*(t0two/beta02),Lco瞬跳時間2)," ")</f>
        <v>0.39178997748940236</v>
      </c>
      <c r="I64">
        <f t="shared" si="20"/>
        <v>1500</v>
      </c>
      <c r="J64">
        <f t="shared" si="21"/>
        <v>150</v>
      </c>
      <c r="L64">
        <f t="shared" si="22"/>
        <v>0.45</v>
      </c>
      <c r="M64">
        <f>IF(协调曲线图!$S$22="是，LCO绘图",IF((k0three/((POWER($A64,alfa03))-1)*(t0three/beta03))&gt;Lco瞬跳時間3,k0three/((POWER($A64,alfa03))-1)*(t0three/beta03),Lco瞬跳時間3)," ")</f>
        <v>0.50372997105780315</v>
      </c>
      <c r="N64">
        <f t="shared" si="23"/>
        <v>2000</v>
      </c>
      <c r="O64">
        <f t="shared" si="24"/>
        <v>150</v>
      </c>
      <c r="Q64">
        <f t="shared" si="25"/>
        <v>0.65</v>
      </c>
      <c r="R64">
        <f>IF(协调曲线图!$S$29="是，LCO绘图",IF((k0four/((POWER($A64,alfa04))-1)*(t0four/beta04))&gt;Lco瞬跳時間4,k0four/((POWER($A64,alfa04))-1)*(t0four/beta04),Lco瞬跳時間4)," ")</f>
        <v>0.61566996462620371</v>
      </c>
      <c r="S64">
        <f t="shared" si="26"/>
        <v>2500</v>
      </c>
      <c r="T64">
        <f t="shared" si="27"/>
        <v>150</v>
      </c>
      <c r="V64">
        <f t="shared" si="28"/>
        <v>0.85</v>
      </c>
      <c r="W64">
        <f>IF(协调曲线图!$S$36="是，LCO绘图",IF((k0five/((POWER($A64,alfa05))-1)*(t0five/beta05))&gt;Lco瞬跳時間5,k0five/((POWER($A64,alfa05))-1)*(t0five/beta05),Lco瞬跳時間5)," ")</f>
        <v>0.7276099581946045</v>
      </c>
      <c r="X64">
        <f t="shared" si="29"/>
        <v>3000</v>
      </c>
      <c r="Y64">
        <f t="shared" si="30"/>
        <v>150</v>
      </c>
      <c r="AA64">
        <f t="shared" si="31"/>
        <v>1.05</v>
      </c>
      <c r="AB64">
        <f>IF(协调曲线图!$S$43="是，LCO绘图",IF((k0six/((POWER($A64,alfa06))-1)*(t0six/beta06))&gt;Lco瞬跳時間6,k0six/((POWER($A64,alfa06))-1)*(t0six/beta06),Lco瞬跳時間6)," ")</f>
        <v>0.89551994854720551</v>
      </c>
      <c r="AC64">
        <f t="shared" si="32"/>
        <v>5000</v>
      </c>
      <c r="AD64">
        <f t="shared" si="33"/>
        <v>300</v>
      </c>
    </row>
    <row r="65" spans="1:30">
      <c r="A65">
        <v>58</v>
      </c>
      <c r="B65">
        <f t="shared" si="18"/>
        <v>5.5720442871484727E-2</v>
      </c>
      <c r="C65">
        <f>IF(协调曲线图!$S$8="是，LCO绘图",IF((k0one/((POWER($A65,alfa01))-1)*(t0one/beta01))&gt;Lco瞬跳時間1,k0one/((POWER($A65,alfa01))-1)*(t0one/beta01),Lco瞬跳時間1)," ")</f>
        <v>0.27860221435742361</v>
      </c>
      <c r="D65">
        <f t="shared" si="34"/>
        <v>1050</v>
      </c>
      <c r="E65">
        <f t="shared" si="35"/>
        <v>150</v>
      </c>
      <c r="G65">
        <f t="shared" si="19"/>
        <v>0.25</v>
      </c>
      <c r="H65">
        <f>IF(协调曲线图!$S$15="是，LCO绘图",IF((k0two/((POWER($A65,alfa02))-1)*(t0two/beta02))&gt;Lco瞬跳時間2,k0two/((POWER($A65,alfa02))-1)*(t0two/beta02),Lco瞬跳時間2)," ")</f>
        <v>0.39004310010039306</v>
      </c>
      <c r="I65">
        <f t="shared" si="20"/>
        <v>1500</v>
      </c>
      <c r="J65">
        <f t="shared" si="21"/>
        <v>150</v>
      </c>
      <c r="L65">
        <f t="shared" si="22"/>
        <v>0.45</v>
      </c>
      <c r="M65">
        <f>IF(协调曲线图!$S$22="是，LCO绘图",IF((k0three/((POWER($A65,alfa03))-1)*(t0three/beta03))&gt;Lco瞬跳時間3,k0three/((POWER($A65,alfa03))-1)*(t0three/beta03),Lco瞬跳時間3)," ")</f>
        <v>0.50148398584336262</v>
      </c>
      <c r="N65">
        <f t="shared" si="23"/>
        <v>2000</v>
      </c>
      <c r="O65">
        <f t="shared" si="24"/>
        <v>150</v>
      </c>
      <c r="Q65">
        <f t="shared" si="25"/>
        <v>0.65</v>
      </c>
      <c r="R65">
        <f>IF(协调曲线图!$S$29="是，LCO绘图",IF((k0four/((POWER($A65,alfa04))-1)*(t0four/beta04))&gt;Lco瞬跳時間4,k0four/((POWER($A65,alfa04))-1)*(t0four/beta04),Lco瞬跳時間4)," ")</f>
        <v>0.61292487158633202</v>
      </c>
      <c r="S65">
        <f t="shared" si="26"/>
        <v>2500</v>
      </c>
      <c r="T65">
        <f t="shared" si="27"/>
        <v>150</v>
      </c>
      <c r="V65">
        <f t="shared" si="28"/>
        <v>0.85</v>
      </c>
      <c r="W65">
        <f>IF(协调曲线图!$S$36="是，LCO绘图",IF((k0five/((POWER($A65,alfa05))-1)*(t0five/beta05))&gt;Lco瞬跳時間5,k0five/((POWER($A65,alfa05))-1)*(t0five/beta05),Lco瞬跳時間5)," ")</f>
        <v>0.72436575732930153</v>
      </c>
      <c r="X65">
        <f t="shared" si="29"/>
        <v>3000</v>
      </c>
      <c r="Y65">
        <f t="shared" si="30"/>
        <v>150</v>
      </c>
      <c r="AA65">
        <f t="shared" si="31"/>
        <v>1.05</v>
      </c>
      <c r="AB65">
        <f>IF(协调曲线图!$S$43="是，LCO绘图",IF((k0six/((POWER($A65,alfa06))-1)*(t0six/beta06))&gt;Lco瞬跳時間6,k0six/((POWER($A65,alfa06))-1)*(t0six/beta06),Lco瞬跳時間6)," ")</f>
        <v>0.89152708594375563</v>
      </c>
      <c r="AC65">
        <f t="shared" si="32"/>
        <v>5000</v>
      </c>
      <c r="AD65">
        <f t="shared" si="33"/>
        <v>300</v>
      </c>
    </row>
    <row r="66" spans="1:30">
      <c r="A66">
        <v>59</v>
      </c>
      <c r="B66">
        <f t="shared" si="18"/>
        <v>5.5477230728320566E-2</v>
      </c>
      <c r="C66">
        <f>IF(协调曲线图!$S$8="是，LCO绘图",IF((k0one/((POWER($A66,alfa01))-1)*(t0one/beta01))&gt;Lco瞬跳時間1,k0one/((POWER($A66,alfa01))-1)*(t0one/beta01),Lco瞬跳時間1)," ")</f>
        <v>0.2773861536416028</v>
      </c>
      <c r="D66">
        <f t="shared" si="34"/>
        <v>1050</v>
      </c>
      <c r="E66">
        <f t="shared" si="35"/>
        <v>150</v>
      </c>
      <c r="G66">
        <f t="shared" si="19"/>
        <v>0.25</v>
      </c>
      <c r="H66">
        <f>IF(协调曲线图!$S$15="是，LCO绘图",IF((k0two/((POWER($A66,alfa02))-1)*(t0two/beta02))&gt;Lco瞬跳時間2,k0two/((POWER($A66,alfa02))-1)*(t0two/beta02),Lco瞬跳時間2)," ")</f>
        <v>0.38834061509824397</v>
      </c>
      <c r="I66">
        <f t="shared" si="20"/>
        <v>1500</v>
      </c>
      <c r="J66">
        <f t="shared" si="21"/>
        <v>150</v>
      </c>
      <c r="L66">
        <f t="shared" si="22"/>
        <v>0.45</v>
      </c>
      <c r="M66">
        <f>IF(协调曲线图!$S$22="是，LCO绘图",IF((k0three/((POWER($A66,alfa03))-1)*(t0three/beta03))&gt;Lco瞬跳時間3,k0three/((POWER($A66,alfa03))-1)*(t0three/beta03),Lco瞬跳時間3)," ")</f>
        <v>0.49929507655488514</v>
      </c>
      <c r="N66">
        <f t="shared" si="23"/>
        <v>2000</v>
      </c>
      <c r="O66">
        <f t="shared" si="24"/>
        <v>150</v>
      </c>
      <c r="Q66">
        <f t="shared" si="25"/>
        <v>0.65</v>
      </c>
      <c r="R66">
        <f>IF(协调曲线图!$S$29="是，LCO绘图",IF((k0four/((POWER($A66,alfa04))-1)*(t0four/beta04))&gt;Lco瞬跳時間4,k0four/((POWER($A66,alfa04))-1)*(t0four/beta04),Lco瞬跳時間4)," ")</f>
        <v>0.61024953801152626</v>
      </c>
      <c r="S66">
        <f t="shared" si="26"/>
        <v>2500</v>
      </c>
      <c r="T66">
        <f t="shared" si="27"/>
        <v>150</v>
      </c>
      <c r="V66">
        <f t="shared" si="28"/>
        <v>0.85</v>
      </c>
      <c r="W66">
        <f>IF(协调曲线图!$S$36="是，LCO绘图",IF((k0five/((POWER($A66,alfa05))-1)*(t0five/beta05))&gt;Lco瞬跳時間5,k0five/((POWER($A66,alfa05))-1)*(t0five/beta05),Lco瞬跳時間5)," ")</f>
        <v>0.72120399946816738</v>
      </c>
      <c r="X66">
        <f t="shared" si="29"/>
        <v>3000</v>
      </c>
      <c r="Y66">
        <f t="shared" si="30"/>
        <v>150</v>
      </c>
      <c r="AA66">
        <f t="shared" si="31"/>
        <v>1.05</v>
      </c>
      <c r="AB66">
        <f>IF(协调曲线图!$S$43="是，LCO绘图",IF((k0six/((POWER($A66,alfa06))-1)*(t0six/beta06))&gt;Lco瞬跳時間6,k0six/((POWER($A66,alfa06))-1)*(t0six/beta06),Lco瞬跳時間6)," ")</f>
        <v>0.88763569165312906</v>
      </c>
      <c r="AC66">
        <f t="shared" si="32"/>
        <v>5000</v>
      </c>
      <c r="AD66">
        <f t="shared" si="33"/>
        <v>300</v>
      </c>
    </row>
    <row r="67" spans="1:30">
      <c r="A67">
        <v>60</v>
      </c>
      <c r="B67">
        <f t="shared" si="18"/>
        <v>5.5240087442625041E-2</v>
      </c>
      <c r="C67">
        <f>IF(协调曲线图!$S$8="是，LCO绘图",IF((k0one/((POWER($A67,alfa01))-1)*(t0one/beta01))&gt;Lco瞬跳時間1,k0one/((POWER($A67,alfa01))-1)*(t0one/beta01),Lco瞬跳時間1)," ")</f>
        <v>0.27620043721312521</v>
      </c>
      <c r="D67">
        <f t="shared" si="34"/>
        <v>1050</v>
      </c>
      <c r="E67">
        <f t="shared" si="35"/>
        <v>150</v>
      </c>
      <c r="G67">
        <f t="shared" si="19"/>
        <v>0.25</v>
      </c>
      <c r="H67">
        <f>IF(协调曲线图!$S$15="是，LCO绘图",IF((k0two/((POWER($A67,alfa02))-1)*(t0two/beta02))&gt;Lco瞬跳時間2,k0two/((POWER($A67,alfa02))-1)*(t0two/beta02),Lco瞬跳時間2)," ")</f>
        <v>0.38668061209837529</v>
      </c>
      <c r="I67">
        <f t="shared" si="20"/>
        <v>1500</v>
      </c>
      <c r="J67">
        <f t="shared" si="21"/>
        <v>150</v>
      </c>
      <c r="L67">
        <f t="shared" si="22"/>
        <v>0.45</v>
      </c>
      <c r="M67">
        <f>IF(协调曲线图!$S$22="是，LCO绘图",IF((k0three/((POWER($A67,alfa03))-1)*(t0three/beta03))&gt;Lco瞬跳時間3,k0three/((POWER($A67,alfa03))-1)*(t0three/beta03),Lco瞬跳時間3)," ")</f>
        <v>0.49716078698362542</v>
      </c>
      <c r="N67">
        <f t="shared" si="23"/>
        <v>2000</v>
      </c>
      <c r="O67">
        <f t="shared" si="24"/>
        <v>150</v>
      </c>
      <c r="Q67">
        <f t="shared" si="25"/>
        <v>0.65</v>
      </c>
      <c r="R67">
        <f>IF(协调曲线图!$S$29="是，LCO绘图",IF((k0four/((POWER($A67,alfa04))-1)*(t0four/beta04))&gt;Lco瞬跳時間4,k0four/((POWER($A67,alfa04))-1)*(t0four/beta04),Lco瞬跳時間4)," ")</f>
        <v>0.60764096186887551</v>
      </c>
      <c r="S67">
        <f t="shared" si="26"/>
        <v>2500</v>
      </c>
      <c r="T67">
        <f t="shared" si="27"/>
        <v>150</v>
      </c>
      <c r="V67">
        <f t="shared" si="28"/>
        <v>0.85</v>
      </c>
      <c r="W67">
        <f>IF(协调曲线图!$S$36="是，LCO绘图",IF((k0five/((POWER($A67,alfa05))-1)*(t0five/beta05))&gt;Lco瞬跳時間5,k0five/((POWER($A67,alfa05))-1)*(t0five/beta05),Lco瞬跳時間5)," ")</f>
        <v>0.71812113675412559</v>
      </c>
      <c r="X67">
        <f t="shared" si="29"/>
        <v>3000</v>
      </c>
      <c r="Y67">
        <f t="shared" si="30"/>
        <v>150</v>
      </c>
      <c r="AA67">
        <f t="shared" si="31"/>
        <v>1.05</v>
      </c>
      <c r="AB67">
        <f>IF(协调曲线图!$S$43="是，LCO绘图",IF((k0six/((POWER($A67,alfa06))-1)*(t0six/beta06))&gt;Lco瞬跳時間6,k0six/((POWER($A67,alfa06))-1)*(t0six/beta06),Lco瞬跳時間6)," ")</f>
        <v>0.88384139908200066</v>
      </c>
      <c r="AC67">
        <f t="shared" si="32"/>
        <v>5000</v>
      </c>
      <c r="AD67">
        <f t="shared" si="33"/>
        <v>300</v>
      </c>
    </row>
    <row r="68" spans="1:30">
      <c r="A68">
        <v>61</v>
      </c>
      <c r="B68">
        <f t="shared" si="18"/>
        <v>5.5008756397682032E-2</v>
      </c>
      <c r="C68">
        <f>IF(协调曲线图!$S$8="是，LCO绘图",IF((k0one/((POWER($A68,alfa01))-1)*(t0one/beta01))&gt;Lco瞬跳時間1,k0one/((POWER($A68,alfa01))-1)*(t0one/beta01),Lco瞬跳時間1)," ")</f>
        <v>0.27504378198841012</v>
      </c>
      <c r="D68">
        <f t="shared" si="34"/>
        <v>1050</v>
      </c>
      <c r="E68">
        <f t="shared" si="35"/>
        <v>150</v>
      </c>
      <c r="G68">
        <f t="shared" si="19"/>
        <v>0.25</v>
      </c>
      <c r="H68">
        <f>IF(协调曲线图!$S$15="是，LCO绘图",IF((k0two/((POWER($A68,alfa02))-1)*(t0two/beta02))&gt;Lco瞬跳時間2,k0two/((POWER($A68,alfa02))-1)*(t0two/beta02),Lco瞬跳時間2)," ")</f>
        <v>0.38506129478377421</v>
      </c>
      <c r="I68">
        <f t="shared" si="20"/>
        <v>1500</v>
      </c>
      <c r="J68">
        <f t="shared" si="21"/>
        <v>150</v>
      </c>
      <c r="L68">
        <f t="shared" si="22"/>
        <v>0.45</v>
      </c>
      <c r="M68">
        <f>IF(协调曲线图!$S$22="是，LCO绘图",IF((k0three/((POWER($A68,alfa03))-1)*(t0three/beta03))&gt;Lco瞬跳時間3,k0three/((POWER($A68,alfa03))-1)*(t0three/beta03),Lco瞬跳時間3)," ")</f>
        <v>0.4950788075791383</v>
      </c>
      <c r="N68">
        <f t="shared" si="23"/>
        <v>2000</v>
      </c>
      <c r="O68">
        <f t="shared" si="24"/>
        <v>150</v>
      </c>
      <c r="Q68">
        <f t="shared" si="25"/>
        <v>0.65</v>
      </c>
      <c r="R68">
        <f>IF(协调曲线图!$S$29="是，LCO绘图",IF((k0four/((POWER($A68,alfa04))-1)*(t0four/beta04))&gt;Lco瞬跳時間4,k0four/((POWER($A68,alfa04))-1)*(t0four/beta04),Lco瞬跳時間4)," ")</f>
        <v>0.60509632037450234</v>
      </c>
      <c r="S68">
        <f t="shared" si="26"/>
        <v>2500</v>
      </c>
      <c r="T68">
        <f t="shared" si="27"/>
        <v>150</v>
      </c>
      <c r="V68">
        <f t="shared" si="28"/>
        <v>0.85</v>
      </c>
      <c r="W68">
        <f>IF(协调曲线图!$S$36="是，LCO绘图",IF((k0five/((POWER($A68,alfa05))-1)*(t0five/beta05))&gt;Lco瞬跳時間5,k0five/((POWER($A68,alfa05))-1)*(t0five/beta05),Lco瞬跳時間5)," ")</f>
        <v>0.71511383316986643</v>
      </c>
      <c r="X68">
        <f t="shared" si="29"/>
        <v>3000</v>
      </c>
      <c r="Y68">
        <f t="shared" si="30"/>
        <v>150</v>
      </c>
      <c r="AA68">
        <f t="shared" si="31"/>
        <v>1.05</v>
      </c>
      <c r="AB68">
        <f>IF(协调曲线图!$S$43="是，LCO绘图",IF((k0six/((POWER($A68,alfa06))-1)*(t0six/beta06))&gt;Lco瞬跳時間6,k0six/((POWER($A68,alfa06))-1)*(t0six/beta06),Lco瞬跳時間6)," ")</f>
        <v>0.88014010236291251</v>
      </c>
      <c r="AC68">
        <f t="shared" si="32"/>
        <v>5000</v>
      </c>
      <c r="AD68">
        <f t="shared" si="33"/>
        <v>300</v>
      </c>
    </row>
    <row r="69" spans="1:30">
      <c r="A69">
        <v>62</v>
      </c>
      <c r="B69">
        <f t="shared" si="18"/>
        <v>5.4782996039074577E-2</v>
      </c>
      <c r="C69">
        <f>IF(协调曲线图!$S$8="是，LCO绘图",IF((k0one/((POWER($A69,alfa01))-1)*(t0one/beta01))&gt;Lco瞬跳時間1,k0one/((POWER($A69,alfa01))-1)*(t0one/beta01),Lco瞬跳時間1)," ")</f>
        <v>0.27391498019537286</v>
      </c>
      <c r="D69">
        <f t="shared" si="34"/>
        <v>1050</v>
      </c>
      <c r="E69">
        <f t="shared" si="35"/>
        <v>150</v>
      </c>
      <c r="G69">
        <f t="shared" si="19"/>
        <v>0.25</v>
      </c>
      <c r="H69">
        <f>IF(协调曲线图!$S$15="是，LCO绘图",IF((k0two/((POWER($A69,alfa02))-1)*(t0two/beta02))&gt;Lco瞬跳時間2,k0two/((POWER($A69,alfa02))-1)*(t0two/beta02),Lco瞬跳時間2)," ")</f>
        <v>0.38348097227352201</v>
      </c>
      <c r="I69">
        <f t="shared" si="20"/>
        <v>1500</v>
      </c>
      <c r="J69">
        <f t="shared" si="21"/>
        <v>150</v>
      </c>
      <c r="L69">
        <f t="shared" si="22"/>
        <v>0.45</v>
      </c>
      <c r="M69">
        <f>IF(协调曲线图!$S$22="是，LCO绘图",IF((k0three/((POWER($A69,alfa03))-1)*(t0three/beta03))&gt;Lco瞬跳時間3,k0three/((POWER($A69,alfa03))-1)*(t0three/beta03),Lco瞬跳時間3)," ")</f>
        <v>0.49304696435167122</v>
      </c>
      <c r="N69">
        <f t="shared" si="23"/>
        <v>2000</v>
      </c>
      <c r="O69">
        <f t="shared" si="24"/>
        <v>150</v>
      </c>
      <c r="Q69">
        <f t="shared" si="25"/>
        <v>0.65</v>
      </c>
      <c r="R69">
        <f>IF(协调曲线图!$S$29="是，LCO绘图",IF((k0four/((POWER($A69,alfa04))-1)*(t0four/beta04))&gt;Lco瞬跳時間4,k0four/((POWER($A69,alfa04))-1)*(t0four/beta04),Lco瞬跳時間4)," ")</f>
        <v>0.60261295642982027</v>
      </c>
      <c r="S69">
        <f t="shared" si="26"/>
        <v>2500</v>
      </c>
      <c r="T69">
        <f t="shared" si="27"/>
        <v>150</v>
      </c>
      <c r="V69">
        <f t="shared" si="28"/>
        <v>0.85</v>
      </c>
      <c r="W69">
        <f>IF(协调曲线图!$S$36="是，LCO绘图",IF((k0five/((POWER($A69,alfa05))-1)*(t0five/beta05))&gt;Lco瞬跳時間5,k0five/((POWER($A69,alfa05))-1)*(t0five/beta05),Lco瞬跳時間5)," ")</f>
        <v>0.71217894850796948</v>
      </c>
      <c r="X69">
        <f t="shared" si="29"/>
        <v>3000</v>
      </c>
      <c r="Y69">
        <f t="shared" si="30"/>
        <v>150</v>
      </c>
      <c r="AA69">
        <f t="shared" si="31"/>
        <v>1.05</v>
      </c>
      <c r="AB69">
        <f>IF(协调曲线图!$S$43="是，LCO绘图",IF((k0six/((POWER($A69,alfa06))-1)*(t0six/beta06))&gt;Lco瞬跳時間6,k0six/((POWER($A69,alfa06))-1)*(t0six/beta06),Lco瞬跳時間6)," ")</f>
        <v>0.87652793662519324</v>
      </c>
      <c r="AC69">
        <f t="shared" si="32"/>
        <v>5000</v>
      </c>
      <c r="AD69">
        <f t="shared" si="33"/>
        <v>300</v>
      </c>
    </row>
    <row r="70" spans="1:30">
      <c r="A70">
        <v>63</v>
      </c>
      <c r="B70">
        <f t="shared" si="18"/>
        <v>5.4562578753845792E-2</v>
      </c>
      <c r="C70">
        <f>IF(协调曲线图!$S$8="是，LCO绘图",IF((k0one/((POWER($A70,alfa01))-1)*(t0one/beta01))&gt;Lco瞬跳時間1,k0one/((POWER($A70,alfa01))-1)*(t0one/beta01),Lco瞬跳時間1)," ")</f>
        <v>0.27281289376922896</v>
      </c>
      <c r="D70">
        <f t="shared" si="34"/>
        <v>1050</v>
      </c>
      <c r="E70">
        <f t="shared" si="35"/>
        <v>150</v>
      </c>
      <c r="G70">
        <f t="shared" si="19"/>
        <v>0.25</v>
      </c>
      <c r="H70">
        <f>IF(协调曲线图!$S$15="是，LCO绘图",IF((k0two/((POWER($A70,alfa02))-1)*(t0two/beta02))&gt;Lco瞬跳時間2,k0two/((POWER($A70,alfa02))-1)*(t0two/beta02),Lco瞬跳時間2)," ")</f>
        <v>0.38193805127692054</v>
      </c>
      <c r="I70">
        <f t="shared" si="20"/>
        <v>1500</v>
      </c>
      <c r="J70">
        <f t="shared" si="21"/>
        <v>150</v>
      </c>
      <c r="L70">
        <f t="shared" si="22"/>
        <v>0.45</v>
      </c>
      <c r="M70">
        <f>IF(协调曲线图!$S$22="是，LCO绘图",IF((k0three/((POWER($A70,alfa03))-1)*(t0three/beta03))&gt;Lco瞬跳時間3,k0three/((POWER($A70,alfa03))-1)*(t0three/beta03),Lco瞬跳時間3)," ")</f>
        <v>0.49106320878461218</v>
      </c>
      <c r="N70">
        <f t="shared" si="23"/>
        <v>2000</v>
      </c>
      <c r="O70">
        <f t="shared" si="24"/>
        <v>150</v>
      </c>
      <c r="Q70">
        <f t="shared" si="25"/>
        <v>0.65</v>
      </c>
      <c r="R70">
        <f>IF(协调曲线图!$S$29="是，LCO绘图",IF((k0four/((POWER($A70,alfa04))-1)*(t0four/beta04))&gt;Lco瞬跳時間4,k0four/((POWER($A70,alfa04))-1)*(t0four/beta04),Lco瞬跳時間4)," ")</f>
        <v>0.60018836629230377</v>
      </c>
      <c r="S70">
        <f t="shared" si="26"/>
        <v>2500</v>
      </c>
      <c r="T70">
        <f t="shared" si="27"/>
        <v>150</v>
      </c>
      <c r="V70">
        <f t="shared" si="28"/>
        <v>0.85</v>
      </c>
      <c r="W70">
        <f>IF(协调曲线图!$S$36="是，LCO绘图",IF((k0five/((POWER($A70,alfa05))-1)*(t0five/beta05))&gt;Lco瞬跳時間5,k0five/((POWER($A70,alfa05))-1)*(t0five/beta05),Lco瞬跳時間5)," ")</f>
        <v>0.70931352379999535</v>
      </c>
      <c r="X70">
        <f t="shared" si="29"/>
        <v>3000</v>
      </c>
      <c r="Y70">
        <f t="shared" si="30"/>
        <v>150</v>
      </c>
      <c r="AA70">
        <f t="shared" si="31"/>
        <v>1.05</v>
      </c>
      <c r="AB70">
        <f>IF(协调曲线图!$S$43="是，LCO绘图",IF((k0six/((POWER($A70,alfa06))-1)*(t0six/beta06))&gt;Lco瞬跳時間6,k0six/((POWER($A70,alfa06))-1)*(t0six/beta06),Lco瞬跳時間6)," ")</f>
        <v>0.87300126006153267</v>
      </c>
      <c r="AC70">
        <f t="shared" si="32"/>
        <v>5000</v>
      </c>
      <c r="AD70">
        <f t="shared" si="33"/>
        <v>300</v>
      </c>
    </row>
    <row r="71" spans="1:30">
      <c r="A71">
        <v>64</v>
      </c>
      <c r="B71">
        <f t="shared" si="18"/>
        <v>5.4347289850013109E-2</v>
      </c>
      <c r="C71">
        <f>IF(协调曲线图!$S$8="是，LCO绘图",IF((k0one/((POWER($A71,alfa01))-1)*(t0one/beta01))&gt;Lco瞬跳時間1,k0one/((POWER($A71,alfa01))-1)*(t0one/beta01),Lco瞬跳時間1)," ")</f>
        <v>0.27173644925006551</v>
      </c>
      <c r="D71">
        <f t="shared" si="34"/>
        <v>1050</v>
      </c>
      <c r="E71">
        <f t="shared" si="35"/>
        <v>150</v>
      </c>
      <c r="G71">
        <f t="shared" si="19"/>
        <v>0.25</v>
      </c>
      <c r="H71">
        <f>IF(协调曲线图!$S$15="是，LCO绘图",IF((k0two/((POWER($A71,alfa02))-1)*(t0two/beta02))&gt;Lco瞬跳時間2,k0two/((POWER($A71,alfa02))-1)*(t0two/beta02),Lco瞬跳時間2)," ")</f>
        <v>0.38043102895009173</v>
      </c>
      <c r="I71">
        <f t="shared" si="20"/>
        <v>1500</v>
      </c>
      <c r="J71">
        <f t="shared" si="21"/>
        <v>150</v>
      </c>
      <c r="L71">
        <f t="shared" si="22"/>
        <v>0.45</v>
      </c>
      <c r="M71">
        <f>IF(协调曲线图!$S$22="是，LCO绘图",IF((k0three/((POWER($A71,alfa03))-1)*(t0three/beta03))&gt;Lco瞬跳時間3,k0three/((POWER($A71,alfa03))-1)*(t0three/beta03),Lco瞬跳時間3)," ")</f>
        <v>0.489125608650118</v>
      </c>
      <c r="N71">
        <f t="shared" si="23"/>
        <v>2000</v>
      </c>
      <c r="O71">
        <f t="shared" si="24"/>
        <v>150</v>
      </c>
      <c r="Q71">
        <f t="shared" si="25"/>
        <v>0.65</v>
      </c>
      <c r="R71">
        <f>IF(协调曲线图!$S$29="是，LCO绘图",IF((k0four/((POWER($A71,alfa04))-1)*(t0four/beta04))&gt;Lco瞬跳時間4,k0four/((POWER($A71,alfa04))-1)*(t0four/beta04),Lco瞬跳時間4)," ")</f>
        <v>0.59782018835014417</v>
      </c>
      <c r="S71">
        <f t="shared" si="26"/>
        <v>2500</v>
      </c>
      <c r="T71">
        <f t="shared" si="27"/>
        <v>150</v>
      </c>
      <c r="V71">
        <f t="shared" si="28"/>
        <v>0.85</v>
      </c>
      <c r="W71">
        <f>IF(协调曲线图!$S$36="是，LCO绘图",IF((k0five/((POWER($A71,alfa05))-1)*(t0five/beta05))&gt;Lco瞬跳時間5,k0five/((POWER($A71,alfa05))-1)*(t0five/beta05),Lco瞬跳時間5)," ")</f>
        <v>0.70651476805017044</v>
      </c>
      <c r="X71">
        <f t="shared" si="29"/>
        <v>3000</v>
      </c>
      <c r="Y71">
        <f t="shared" si="30"/>
        <v>150</v>
      </c>
      <c r="AA71">
        <f t="shared" si="31"/>
        <v>1.05</v>
      </c>
      <c r="AB71">
        <f>IF(协调曲线图!$S$43="是，LCO绘图",IF((k0six/((POWER($A71,alfa06))-1)*(t0six/beta06))&gt;Lco瞬跳時間6,k0six/((POWER($A71,alfa06))-1)*(t0six/beta06),Lco瞬跳時間6)," ")</f>
        <v>0.86955663760020974</v>
      </c>
      <c r="AC71">
        <f t="shared" si="32"/>
        <v>5000</v>
      </c>
      <c r="AD71">
        <f t="shared" si="33"/>
        <v>300</v>
      </c>
    </row>
    <row r="72" spans="1:30">
      <c r="A72">
        <v>65</v>
      </c>
      <c r="B72">
        <f t="shared" ref="B72:B103" si="36">IF((kone/((POWER($A72,alfa1))-1)*(tone/beta1))&gt;瞬跳時間1,kone/((POWER($A72,alfa1))-1)*(tone/beta1),瞬跳時間1)</f>
        <v>5.413692662598734E-2</v>
      </c>
      <c r="C72">
        <f>IF(协调曲线图!$S$8="是，LCO绘图",IF((k0one/((POWER($A72,alfa01))-1)*(t0one/beta01))&gt;Lco瞬跳時間1,k0one/((POWER($A72,alfa01))-1)*(t0one/beta01),Lco瞬跳時間1)," ")</f>
        <v>0.27068463312993668</v>
      </c>
      <c r="D72">
        <f t="shared" si="34"/>
        <v>1050</v>
      </c>
      <c r="E72">
        <f t="shared" si="35"/>
        <v>150</v>
      </c>
      <c r="G72">
        <f t="shared" ref="G72:G103" si="37">IF((ktwo/((POWER($A72,alfa2))-1)*(ttwo/beta2))&gt;瞬跳時間2,ktwo/((POWER($A72,alfa2))-1)*(ttwo/beta2),瞬跳時間2)</f>
        <v>0.25</v>
      </c>
      <c r="H72">
        <f>IF(协调曲线图!$S$15="是，LCO绘图",IF((k0two/((POWER($A72,alfa02))-1)*(t0two/beta02))&gt;Lco瞬跳時間2,k0two/((POWER($A72,alfa02))-1)*(t0two/beta02),Lco瞬跳時間2)," ")</f>
        <v>0.37895848638191137</v>
      </c>
      <c r="I72">
        <f t="shared" ref="I72:I103" si="38">IF(Istwo*$A72&gt;=瞬跳電流2,瞬跳電流2,Istwo*$A72)/(covb2/covt2)</f>
        <v>1500</v>
      </c>
      <c r="J72">
        <f t="shared" ref="J72:J103" si="39">IF(Is0two*$A72&gt;=Lco瞬跳電流2,Lco瞬跳電流2,Is0two*$A72)/(covb2/covt2)</f>
        <v>150</v>
      </c>
      <c r="L72">
        <f t="shared" ref="L72:L103" si="40">IF((kthree/((POWER($A72,alfa3))-1)*(tthree/beta3))&gt;瞬跳時間3,kthree/((POWER($A72,alfa3))-1)*(tthree/beta3),瞬跳時間3)</f>
        <v>0.45</v>
      </c>
      <c r="M72">
        <f>IF(协调曲线图!$S$22="是，LCO绘图",IF((k0three/((POWER($A72,alfa03))-1)*(t0three/beta03))&gt;Lco瞬跳時間3,k0three/((POWER($A72,alfa03))-1)*(t0three/beta03),Lco瞬跳時間3)," ")</f>
        <v>0.48723233963388607</v>
      </c>
      <c r="N72">
        <f t="shared" ref="N72:N103" si="41">IF(Isthree*$A72&gt;=瞬跳電流3,瞬跳電流3,Isthree*$A72)/(covb3/covt3)</f>
        <v>2000</v>
      </c>
      <c r="O72">
        <f t="shared" ref="O72:O103" si="42">IF(Is0three*$A72&gt;=Lco瞬跳電流3,Lco瞬跳電流3,Is0three*$A72)/(covb3/covt3)</f>
        <v>150</v>
      </c>
      <c r="Q72">
        <f t="shared" ref="Q72:Q103" si="43">IF((kfour/((POWER($A72,alfa4))-1)*(tfour/beta4))&gt;瞬跳時間4,kfour/((POWER($A72,alfa4))-1)*(tfour/beta4),瞬跳時間4)</f>
        <v>0.65</v>
      </c>
      <c r="R72">
        <f>IF(协调曲线图!$S$29="是，LCO绘图",IF((k0four/((POWER($A72,alfa04))-1)*(t0four/beta04))&gt;Lco瞬跳時間4,k0four/((POWER($A72,alfa04))-1)*(t0four/beta04),Lco瞬跳時間4)," ")</f>
        <v>0.59550619288586071</v>
      </c>
      <c r="S72">
        <f t="shared" ref="S72:S103" si="44">IF(Isfour*$A72&gt;=瞬跳電流4,瞬跳電流4,Isfour*$A72)/(covb4/covt4)</f>
        <v>2500</v>
      </c>
      <c r="T72">
        <f t="shared" ref="T72:T103" si="45">IF(Is0four*$A72&gt;=Lco瞬跳電流4,Lco瞬跳電流4,Is0four*$A72)/(covb4/covt4)</f>
        <v>150</v>
      </c>
      <c r="V72">
        <f t="shared" ref="V72:V103" si="46">IF((kfive/((POWER($A72,alfa5))-1)*(tfive/beta5))&gt;瞬跳時間5,kfive/((POWER($A72,alfa5))-1)*(tfive/beta5),瞬跳時間5)</f>
        <v>0.85</v>
      </c>
      <c r="W72">
        <f>IF(协调曲线图!$S$36="是，LCO绘图",IF((k0five/((POWER($A72,alfa05))-1)*(t0five/beta05))&gt;Lco瞬跳時間5,k0five/((POWER($A72,alfa05))-1)*(t0five/beta05),Lco瞬跳時間5)," ")</f>
        <v>0.7037800461378354</v>
      </c>
      <c r="X72">
        <f t="shared" ref="X72:X103" si="47">IF(Isfive*$A72&gt;=瞬跳電流5,瞬跳電流5,Isfive*$A72)/(covb5/covt5)</f>
        <v>3000</v>
      </c>
      <c r="Y72">
        <f t="shared" ref="Y72:Y103" si="48">IF(Is0five*$A72&gt;=Lco瞬跳電流5,Lco瞬跳電流5,Is0five*$A72)/(covb5/covt5)</f>
        <v>150</v>
      </c>
      <c r="AA72">
        <f t="shared" ref="AA72:AA103" si="49">IF((ksix/((POWER($A72,alfa6))-1)*(tsix/beta6))&gt;瞬跳時間6,ksix/((POWER($A72,alfa6))-1)*(tsix/beta6),瞬跳時間6)</f>
        <v>1.05</v>
      </c>
      <c r="AB72">
        <f>IF(协调曲线图!$S$43="是，LCO绘图",IF((k0six/((POWER($A72,alfa06))-1)*(t0six/beta06))&gt;Lco瞬跳時間6,k0six/((POWER($A72,alfa06))-1)*(t0six/beta06),Lco瞬跳時間6)," ")</f>
        <v>0.86619082601579744</v>
      </c>
      <c r="AC72">
        <f t="shared" ref="AC72:AC103" si="50">IF(Issix*$A72&gt;=瞬跳電流6,瞬跳電流6,Issix*$A72)/(covb6/covt6)</f>
        <v>5000</v>
      </c>
      <c r="AD72">
        <f t="shared" ref="AD72:AD103" si="51">IF(Is0six*$A72&gt;=Lco瞬跳電流6,Lco瞬跳電流6,Is0six*$A72)/(covb6/covt6)</f>
        <v>300</v>
      </c>
    </row>
    <row r="73" spans="1:30">
      <c r="A73">
        <v>66</v>
      </c>
      <c r="B73">
        <f t="shared" si="36"/>
        <v>5.3931297520684617E-2</v>
      </c>
      <c r="C73">
        <f>IF(协调曲线图!$S$8="是，LCO绘图",IF((k0one/((POWER($A73,alfa01))-1)*(t0one/beta01))&gt;Lco瞬跳時間1,k0one/((POWER($A73,alfa01))-1)*(t0one/beta01),Lco瞬跳時間1)," ")</f>
        <v>0.26965648760342303</v>
      </c>
      <c r="D73">
        <f t="shared" ref="D73:D104" si="52">IF(Isone*$A73&gt;=瞬跳電流1,瞬跳電流1,Isone*$A73)/(covb1/covt1)</f>
        <v>1050</v>
      </c>
      <c r="E73">
        <f t="shared" ref="E73:E104" si="53">IF(Is0one*$A73&gt;=Lco瞬跳電流1,Lco瞬跳電流1,Is0one*$A73)/(covb1/covt1)</f>
        <v>150</v>
      </c>
      <c r="G73">
        <f t="shared" si="37"/>
        <v>0.25</v>
      </c>
      <c r="H73">
        <f>IF(协调曲线图!$S$15="是，LCO绘图",IF((k0two/((POWER($A73,alfa02))-1)*(t0two/beta02))&gt;Lco瞬跳時間2,k0two/((POWER($A73,alfa02))-1)*(t0two/beta02),Lco瞬跳時間2)," ")</f>
        <v>0.37751908264479228</v>
      </c>
      <c r="I73">
        <f t="shared" si="38"/>
        <v>1500</v>
      </c>
      <c r="J73">
        <f t="shared" si="39"/>
        <v>150</v>
      </c>
      <c r="L73">
        <f t="shared" si="40"/>
        <v>0.45</v>
      </c>
      <c r="M73">
        <f>IF(协调曲线图!$S$22="是，LCO绘图",IF((k0three/((POWER($A73,alfa03))-1)*(t0three/beta03))&gt;Lco瞬跳時間3,k0three/((POWER($A73,alfa03))-1)*(t0three/beta03),Lco瞬跳時間3)," ")</f>
        <v>0.48538167768616158</v>
      </c>
      <c r="N73">
        <f t="shared" si="41"/>
        <v>2000</v>
      </c>
      <c r="O73">
        <f t="shared" si="42"/>
        <v>150</v>
      </c>
      <c r="Q73">
        <f t="shared" si="43"/>
        <v>0.65</v>
      </c>
      <c r="R73">
        <f>IF(协调曲线图!$S$29="是，LCO绘图",IF((k0four/((POWER($A73,alfa04))-1)*(t0four/beta04))&gt;Lco瞬跳時間4,k0four/((POWER($A73,alfa04))-1)*(t0four/beta04),Lco瞬跳時間4)," ")</f>
        <v>0.59324427272753077</v>
      </c>
      <c r="S73">
        <f t="shared" si="44"/>
        <v>2500</v>
      </c>
      <c r="T73">
        <f t="shared" si="45"/>
        <v>150</v>
      </c>
      <c r="V73">
        <f t="shared" si="46"/>
        <v>0.85</v>
      </c>
      <c r="W73">
        <f>IF(协调曲线图!$S$36="是，LCO绘图",IF((k0five/((POWER($A73,alfa05))-1)*(t0five/beta05))&gt;Lco瞬跳時間5,k0five/((POWER($A73,alfa05))-1)*(t0five/beta05),Lco瞬跳時間5)," ")</f>
        <v>0.70110686776889997</v>
      </c>
      <c r="X73">
        <f t="shared" si="47"/>
        <v>3000</v>
      </c>
      <c r="Y73">
        <f t="shared" si="48"/>
        <v>150</v>
      </c>
      <c r="AA73">
        <f t="shared" si="49"/>
        <v>1.05</v>
      </c>
      <c r="AB73">
        <f>IF(协调曲线图!$S$43="是，LCO绘图",IF((k0six/((POWER($A73,alfa06))-1)*(t0six/beta06))&gt;Lco瞬跳時間6,k0six/((POWER($A73,alfa06))-1)*(t0six/beta06),Lco瞬跳時間6)," ")</f>
        <v>0.86290076033095386</v>
      </c>
      <c r="AC73">
        <f t="shared" si="50"/>
        <v>5000</v>
      </c>
      <c r="AD73">
        <f t="shared" si="51"/>
        <v>300</v>
      </c>
    </row>
    <row r="74" spans="1:30">
      <c r="A74">
        <v>67</v>
      </c>
      <c r="B74">
        <f t="shared" si="36"/>
        <v>5.3730221336187434E-2</v>
      </c>
      <c r="C74">
        <f>IF(协调曲线图!$S$8="是，LCO绘图",IF((k0one/((POWER($A74,alfa01))-1)*(t0one/beta01))&gt;Lco瞬跳時間1,k0one/((POWER($A74,alfa01))-1)*(t0one/beta01),Lco瞬跳時間1)," ")</f>
        <v>0.26865110668093717</v>
      </c>
      <c r="D74">
        <f t="shared" si="52"/>
        <v>1050</v>
      </c>
      <c r="E74">
        <f t="shared" si="53"/>
        <v>150</v>
      </c>
      <c r="G74">
        <f t="shared" si="37"/>
        <v>0.25</v>
      </c>
      <c r="H74">
        <f>IF(协调曲线图!$S$15="是，LCO绘图",IF((k0two/((POWER($A74,alfa02))-1)*(t0two/beta02))&gt;Lco瞬跳時間2,k0two/((POWER($A74,alfa02))-1)*(t0two/beta02),Lco瞬跳時間2)," ")</f>
        <v>0.37611154935331204</v>
      </c>
      <c r="I74">
        <f t="shared" si="38"/>
        <v>1500</v>
      </c>
      <c r="J74">
        <f t="shared" si="39"/>
        <v>150</v>
      </c>
      <c r="L74">
        <f t="shared" si="40"/>
        <v>0.45</v>
      </c>
      <c r="M74">
        <f>IF(协调曲线图!$S$22="是，LCO绘图",IF((k0three/((POWER($A74,alfa03))-1)*(t0three/beta03))&gt;Lco瞬跳時間3,k0three/((POWER($A74,alfa03))-1)*(t0three/beta03),Lco瞬跳時間3)," ")</f>
        <v>0.48357199202568696</v>
      </c>
      <c r="N74">
        <f t="shared" si="41"/>
        <v>2000</v>
      </c>
      <c r="O74">
        <f t="shared" si="42"/>
        <v>150</v>
      </c>
      <c r="Q74">
        <f t="shared" si="43"/>
        <v>0.65</v>
      </c>
      <c r="R74">
        <f>IF(协调曲线图!$S$29="是，LCO绘图",IF((k0four/((POWER($A74,alfa04))-1)*(t0four/beta04))&gt;Lco瞬跳時間4,k0four/((POWER($A74,alfa04))-1)*(t0four/beta04),Lco瞬跳時間4)," ")</f>
        <v>0.59103243469806177</v>
      </c>
      <c r="S74">
        <f t="shared" si="44"/>
        <v>2500</v>
      </c>
      <c r="T74">
        <f t="shared" si="45"/>
        <v>150</v>
      </c>
      <c r="V74">
        <f t="shared" si="46"/>
        <v>0.85</v>
      </c>
      <c r="W74">
        <f>IF(协调曲线图!$S$36="是，LCO绘图",IF((k0five/((POWER($A74,alfa05))-1)*(t0five/beta05))&gt;Lco瞬跳時間5,k0five/((POWER($A74,alfa05))-1)*(t0five/beta05),Lco瞬跳時間5)," ")</f>
        <v>0.69849287737043664</v>
      </c>
      <c r="X74">
        <f t="shared" si="47"/>
        <v>3000</v>
      </c>
      <c r="Y74">
        <f t="shared" si="48"/>
        <v>150</v>
      </c>
      <c r="AA74">
        <f t="shared" si="49"/>
        <v>1.05</v>
      </c>
      <c r="AB74">
        <f>IF(协调曲线图!$S$43="是，LCO绘图",IF((k0six/((POWER($A74,alfa06))-1)*(t0six/beta06))&gt;Lco瞬跳時間6,k0six/((POWER($A74,alfa06))-1)*(t0six/beta06),Lco瞬跳時間6)," ")</f>
        <v>0.85968354137899894</v>
      </c>
      <c r="AC74">
        <f t="shared" si="50"/>
        <v>5000</v>
      </c>
      <c r="AD74">
        <f t="shared" si="51"/>
        <v>300</v>
      </c>
    </row>
    <row r="75" spans="1:30">
      <c r="A75">
        <v>68</v>
      </c>
      <c r="B75">
        <f t="shared" si="36"/>
        <v>5.3533526525748824E-2</v>
      </c>
      <c r="C75">
        <f>IF(协调曲线图!$S$8="是，LCO绘图",IF((k0one/((POWER($A75,alfa01))-1)*(t0one/beta01))&gt;Lco瞬跳時間1,k0one/((POWER($A75,alfa01))-1)*(t0one/beta01),Lco瞬跳時間1)," ")</f>
        <v>0.2676676326287441</v>
      </c>
      <c r="D75">
        <f t="shared" si="52"/>
        <v>1050</v>
      </c>
      <c r="E75">
        <f t="shared" si="53"/>
        <v>150</v>
      </c>
      <c r="G75">
        <f t="shared" si="37"/>
        <v>0.25</v>
      </c>
      <c r="H75">
        <f>IF(协调曲线图!$S$15="是，LCO绘图",IF((k0two/((POWER($A75,alfa02))-1)*(t0two/beta02))&gt;Lco瞬跳時間2,k0two/((POWER($A75,alfa02))-1)*(t0two/beta02),Lco瞬跳時間2)," ")</f>
        <v>0.37473468568024176</v>
      </c>
      <c r="I75">
        <f t="shared" si="38"/>
        <v>1500</v>
      </c>
      <c r="J75">
        <f t="shared" si="39"/>
        <v>150</v>
      </c>
      <c r="L75">
        <f t="shared" si="40"/>
        <v>0.45</v>
      </c>
      <c r="M75">
        <f>IF(协调曲线图!$S$22="是，LCO绘图",IF((k0three/((POWER($A75,alfa03))-1)*(t0three/beta03))&gt;Lco瞬跳時間3,k0three/((POWER($A75,alfa03))-1)*(t0three/beta03),Lco瞬跳時間3)," ")</f>
        <v>0.48180173873173943</v>
      </c>
      <c r="N75">
        <f t="shared" si="41"/>
        <v>2000</v>
      </c>
      <c r="O75">
        <f t="shared" si="42"/>
        <v>150</v>
      </c>
      <c r="Q75">
        <f t="shared" si="43"/>
        <v>0.65</v>
      </c>
      <c r="R75">
        <f>IF(协调曲线图!$S$29="是，LCO绘图",IF((k0four/((POWER($A75,alfa04))-1)*(t0four/beta04))&gt;Lco瞬跳時間4,k0four/((POWER($A75,alfa04))-1)*(t0four/beta04),Lco瞬跳時間4)," ")</f>
        <v>0.58886879178323703</v>
      </c>
      <c r="S75">
        <f t="shared" si="44"/>
        <v>2500</v>
      </c>
      <c r="T75">
        <f t="shared" si="45"/>
        <v>150</v>
      </c>
      <c r="V75">
        <f t="shared" si="46"/>
        <v>0.85</v>
      </c>
      <c r="W75">
        <f>IF(协调曲线图!$S$36="是，LCO绘图",IF((k0five/((POWER($A75,alfa05))-1)*(t0five/beta05))&gt;Lco瞬跳時間5,k0five/((POWER($A75,alfa05))-1)*(t0five/beta05),Lco瞬跳時間5)," ")</f>
        <v>0.6959358448347347</v>
      </c>
      <c r="X75">
        <f t="shared" si="47"/>
        <v>3000</v>
      </c>
      <c r="Y75">
        <f t="shared" si="48"/>
        <v>150</v>
      </c>
      <c r="AA75">
        <f t="shared" si="49"/>
        <v>1.05</v>
      </c>
      <c r="AB75">
        <f>IF(协调曲线图!$S$43="是，LCO绘图",IF((k0six/((POWER($A75,alfa06))-1)*(t0six/beta06))&gt;Lco瞬跳時間6,k0six/((POWER($A75,alfa06))-1)*(t0six/beta06),Lco瞬跳時間6)," ")</f>
        <v>0.85653642441198119</v>
      </c>
      <c r="AC75">
        <f t="shared" si="50"/>
        <v>5000</v>
      </c>
      <c r="AD75">
        <f t="shared" si="51"/>
        <v>300</v>
      </c>
    </row>
    <row r="76" spans="1:30">
      <c r="A76">
        <v>69</v>
      </c>
      <c r="B76">
        <f t="shared" si="36"/>
        <v>5.3341050540743583E-2</v>
      </c>
      <c r="C76">
        <f>IF(协调曲线图!$S$8="是，LCO绘图",IF((k0one/((POWER($A76,alfa01))-1)*(t0one/beta01))&gt;Lco瞬跳時間1,k0one/((POWER($A76,alfa01))-1)*(t0one/beta01),Lco瞬跳時間1)," ")</f>
        <v>0.26670525270371792</v>
      </c>
      <c r="D76">
        <f t="shared" si="52"/>
        <v>1050</v>
      </c>
      <c r="E76">
        <f t="shared" si="53"/>
        <v>150</v>
      </c>
      <c r="G76">
        <f t="shared" si="37"/>
        <v>0.25</v>
      </c>
      <c r="H76">
        <f>IF(协调曲线图!$S$15="是，LCO绘图",IF((k0two/((POWER($A76,alfa02))-1)*(t0two/beta02))&gt;Lco瞬跳時間2,k0two/((POWER($A76,alfa02))-1)*(t0two/beta02),Lco瞬跳時間2)," ")</f>
        <v>0.37338735378520505</v>
      </c>
      <c r="I76">
        <f t="shared" si="38"/>
        <v>1500</v>
      </c>
      <c r="J76">
        <f t="shared" si="39"/>
        <v>150</v>
      </c>
      <c r="L76">
        <f t="shared" si="40"/>
        <v>0.45</v>
      </c>
      <c r="M76">
        <f>IF(协调曲线图!$S$22="是，LCO绘图",IF((k0three/((POWER($A76,alfa03))-1)*(t0three/beta03))&gt;Lco瞬跳時間3,k0three/((POWER($A76,alfa03))-1)*(t0three/beta03),Lco瞬跳時間3)," ")</f>
        <v>0.48006945486669228</v>
      </c>
      <c r="N76">
        <f t="shared" si="41"/>
        <v>2000</v>
      </c>
      <c r="O76">
        <f t="shared" si="42"/>
        <v>150</v>
      </c>
      <c r="Q76">
        <f t="shared" si="43"/>
        <v>0.65</v>
      </c>
      <c r="R76">
        <f>IF(协调曲线图!$S$29="是，LCO绘图",IF((k0four/((POWER($A76,alfa04))-1)*(t0four/beta04))&gt;Lco瞬跳時間4,k0four/((POWER($A76,alfa04))-1)*(t0four/beta04),Lco瞬跳時間4)," ")</f>
        <v>0.5867515559481794</v>
      </c>
      <c r="S76">
        <f t="shared" si="44"/>
        <v>2500</v>
      </c>
      <c r="T76">
        <f t="shared" si="45"/>
        <v>150</v>
      </c>
      <c r="V76">
        <f t="shared" si="46"/>
        <v>0.85</v>
      </c>
      <c r="W76">
        <f>IF(协调曲线图!$S$36="是，LCO绘图",IF((k0five/((POWER($A76,alfa05))-1)*(t0five/beta05))&gt;Lco瞬跳時間5,k0five/((POWER($A76,alfa05))-1)*(t0five/beta05),Lco瞬跳時間5)," ")</f>
        <v>0.69343365702966664</v>
      </c>
      <c r="X76">
        <f t="shared" si="47"/>
        <v>3000</v>
      </c>
      <c r="Y76">
        <f t="shared" si="48"/>
        <v>150</v>
      </c>
      <c r="AA76">
        <f t="shared" si="49"/>
        <v>1.05</v>
      </c>
      <c r="AB76">
        <f>IF(协调曲线图!$S$43="是，LCO绘图",IF((k0six/((POWER($A76,alfa06))-1)*(t0six/beta06))&gt;Lco瞬跳時間6,k0six/((POWER($A76,alfa06))-1)*(t0six/beta06),Lco瞬跳時間6)," ")</f>
        <v>0.85345680865189733</v>
      </c>
      <c r="AC76">
        <f t="shared" si="50"/>
        <v>5000</v>
      </c>
      <c r="AD76">
        <f t="shared" si="51"/>
        <v>300</v>
      </c>
    </row>
    <row r="77" spans="1:30">
      <c r="A77">
        <v>70</v>
      </c>
      <c r="B77">
        <f t="shared" si="36"/>
        <v>5.3152639230885111E-2</v>
      </c>
      <c r="C77">
        <f>IF(协调曲线图!$S$8="是，LCO绘图",IF((k0one/((POWER($A77,alfa01))-1)*(t0one/beta01))&gt;Lco瞬跳時間1,k0one/((POWER($A77,alfa01))-1)*(t0one/beta01),Lco瞬跳時間1)," ")</f>
        <v>0.26576319615442551</v>
      </c>
      <c r="D77">
        <f t="shared" si="52"/>
        <v>1050</v>
      </c>
      <c r="E77">
        <f t="shared" si="53"/>
        <v>150</v>
      </c>
      <c r="G77">
        <f t="shared" si="37"/>
        <v>0.25</v>
      </c>
      <c r="H77">
        <f>IF(协调曲线图!$S$15="是，LCO绘图",IF((k0two/((POWER($A77,alfa02))-1)*(t0two/beta02))&gt;Lco瞬跳時間2,k0two/((POWER($A77,alfa02))-1)*(t0two/beta02),Lco瞬跳時間2)," ")</f>
        <v>0.37206847461619574</v>
      </c>
      <c r="I77">
        <f t="shared" si="38"/>
        <v>1500</v>
      </c>
      <c r="J77">
        <f t="shared" si="39"/>
        <v>150</v>
      </c>
      <c r="L77">
        <f t="shared" si="40"/>
        <v>0.45</v>
      </c>
      <c r="M77">
        <f>IF(协调曲线图!$S$22="是，LCO绘图",IF((k0three/((POWER($A77,alfa03))-1)*(t0three/beta03))&gt;Lco瞬跳時間3,k0three/((POWER($A77,alfa03))-1)*(t0three/beta03),Lco瞬跳時間3)," ")</f>
        <v>0.47837375307796604</v>
      </c>
      <c r="N77">
        <f t="shared" si="41"/>
        <v>2000</v>
      </c>
      <c r="O77">
        <f t="shared" si="42"/>
        <v>150</v>
      </c>
      <c r="Q77">
        <f t="shared" si="43"/>
        <v>0.65</v>
      </c>
      <c r="R77">
        <f>IF(协调曲线图!$S$29="是，LCO绘图",IF((k0four/((POWER($A77,alfa04))-1)*(t0four/beta04))&gt;Lco瞬跳時間4,k0four/((POWER($A77,alfa04))-1)*(t0four/beta04),Lco瞬跳時間4)," ")</f>
        <v>0.58467903153973622</v>
      </c>
      <c r="S77">
        <f t="shared" si="44"/>
        <v>2500</v>
      </c>
      <c r="T77">
        <f t="shared" si="45"/>
        <v>150</v>
      </c>
      <c r="V77">
        <f t="shared" si="46"/>
        <v>0.85</v>
      </c>
      <c r="W77">
        <f>IF(协调曲线图!$S$36="是，LCO绘图",IF((k0five/((POWER($A77,alfa05))-1)*(t0five/beta05))&gt;Lco瞬跳時間5,k0five/((POWER($A77,alfa05))-1)*(t0five/beta05),Lco瞬跳時間5)," ")</f>
        <v>0.6909843100015064</v>
      </c>
      <c r="X77">
        <f t="shared" si="47"/>
        <v>3000</v>
      </c>
      <c r="Y77">
        <f t="shared" si="48"/>
        <v>150</v>
      </c>
      <c r="AA77">
        <f t="shared" si="49"/>
        <v>1.05</v>
      </c>
      <c r="AB77">
        <f>IF(协调曲线图!$S$43="是，LCO绘图",IF((k0six/((POWER($A77,alfa06))-1)*(t0six/beta06))&gt;Lco瞬跳時間6,k0six/((POWER($A77,alfa06))-1)*(t0six/beta06),Lco瞬跳時間6)," ")</f>
        <v>0.85044222769416178</v>
      </c>
      <c r="AC77">
        <f t="shared" si="50"/>
        <v>5000</v>
      </c>
      <c r="AD77">
        <f t="shared" si="51"/>
        <v>300</v>
      </c>
    </row>
    <row r="78" spans="1:30">
      <c r="A78">
        <v>71</v>
      </c>
      <c r="B78">
        <f t="shared" si="36"/>
        <v>5.2968146292645367E-2</v>
      </c>
      <c r="C78">
        <f>IF(协调曲线图!$S$8="是，LCO绘图",IF((k0one/((POWER($A78,alfa01))-1)*(t0one/beta01))&gt;Lco瞬跳時間1,k0one/((POWER($A78,alfa01))-1)*(t0one/beta01),Lco瞬跳時間1)," ")</f>
        <v>0.26484073146322684</v>
      </c>
      <c r="D78">
        <f t="shared" si="52"/>
        <v>1050</v>
      </c>
      <c r="E78">
        <f t="shared" si="53"/>
        <v>150</v>
      </c>
      <c r="G78">
        <f t="shared" si="37"/>
        <v>0.25</v>
      </c>
      <c r="H78">
        <f>IF(协调曲线图!$S$15="是，LCO绘图",IF((k0two/((POWER($A78,alfa02))-1)*(t0two/beta02))&gt;Lco瞬跳時間2,k0two/((POWER($A78,alfa02))-1)*(t0two/beta02),Lco瞬跳時間2)," ")</f>
        <v>0.37077702404851753</v>
      </c>
      <c r="I78">
        <f t="shared" si="38"/>
        <v>1500</v>
      </c>
      <c r="J78">
        <f t="shared" si="39"/>
        <v>150</v>
      </c>
      <c r="L78">
        <f t="shared" si="40"/>
        <v>0.45</v>
      </c>
      <c r="M78">
        <f>IF(协调曲线图!$S$22="是，LCO绘图",IF((k0three/((POWER($A78,alfa03))-1)*(t0three/beta03))&gt;Lco瞬跳時間3,k0three/((POWER($A78,alfa03))-1)*(t0three/beta03),Lco瞬跳時間3)," ")</f>
        <v>0.47671331663380834</v>
      </c>
      <c r="N78">
        <f t="shared" si="41"/>
        <v>2000</v>
      </c>
      <c r="O78">
        <f t="shared" si="42"/>
        <v>150</v>
      </c>
      <c r="Q78">
        <f t="shared" si="43"/>
        <v>0.65</v>
      </c>
      <c r="R78">
        <f>IF(协调曲线图!$S$29="是，LCO绘图",IF((k0four/((POWER($A78,alfa04))-1)*(t0four/beta04))&gt;Lco瞬跳時間4,k0four/((POWER($A78,alfa04))-1)*(t0four/beta04),Lco瞬跳時間4)," ")</f>
        <v>0.58264960921909903</v>
      </c>
      <c r="S78">
        <f t="shared" si="44"/>
        <v>2500</v>
      </c>
      <c r="T78">
        <f t="shared" si="45"/>
        <v>150</v>
      </c>
      <c r="V78">
        <f t="shared" si="46"/>
        <v>0.85</v>
      </c>
      <c r="W78">
        <f>IF(协调曲线图!$S$36="是，LCO绘图",IF((k0five/((POWER($A78,alfa05))-1)*(t0five/beta05))&gt;Lco瞬跳時間5,k0five/((POWER($A78,alfa05))-1)*(t0five/beta05),Lco瞬跳時間5)," ")</f>
        <v>0.68858590180438983</v>
      </c>
      <c r="X78">
        <f t="shared" si="47"/>
        <v>3000</v>
      </c>
      <c r="Y78">
        <f t="shared" si="48"/>
        <v>150</v>
      </c>
      <c r="AA78">
        <f t="shared" si="49"/>
        <v>1.05</v>
      </c>
      <c r="AB78">
        <f>IF(协调曲线图!$S$43="是，LCO绘图",IF((k0six/((POWER($A78,alfa06))-1)*(t0six/beta06))&gt;Lco瞬跳時間6,k0six/((POWER($A78,alfa06))-1)*(t0six/beta06),Lco瞬跳時間6)," ")</f>
        <v>0.84749034068232587</v>
      </c>
      <c r="AC78">
        <f t="shared" si="50"/>
        <v>5000</v>
      </c>
      <c r="AD78">
        <f t="shared" si="51"/>
        <v>300</v>
      </c>
    </row>
    <row r="79" spans="1:30">
      <c r="A79">
        <v>72</v>
      </c>
      <c r="B79">
        <f t="shared" si="36"/>
        <v>5.2787432761366118E-2</v>
      </c>
      <c r="C79">
        <f>IF(协调曲线图!$S$8="是，LCO绘图",IF((k0one/((POWER($A79,alfa01))-1)*(t0one/beta01))&gt;Lco瞬跳時間1,k0one/((POWER($A79,alfa01))-1)*(t0one/beta01),Lco瞬跳時間1)," ")</f>
        <v>0.26393716380683058</v>
      </c>
      <c r="D79">
        <f t="shared" si="52"/>
        <v>1050</v>
      </c>
      <c r="E79">
        <f t="shared" si="53"/>
        <v>150</v>
      </c>
      <c r="G79">
        <f t="shared" si="37"/>
        <v>0.25</v>
      </c>
      <c r="H79">
        <f>IF(协调曲线图!$S$15="是，LCO绘图",IF((k0two/((POWER($A79,alfa02))-1)*(t0two/beta02))&gt;Lco瞬跳時間2,k0two/((POWER($A79,alfa02))-1)*(t0two/beta02),Lco瞬跳時間2)," ")</f>
        <v>0.36951202932956279</v>
      </c>
      <c r="I79">
        <f t="shared" si="38"/>
        <v>1500</v>
      </c>
      <c r="J79">
        <f t="shared" si="39"/>
        <v>150</v>
      </c>
      <c r="L79">
        <f t="shared" si="40"/>
        <v>0.45</v>
      </c>
      <c r="M79">
        <f>IF(协调曲线图!$S$22="是，LCO绘图",IF((k0three/((POWER($A79,alfa03))-1)*(t0three/beta03))&gt;Lco瞬跳時間3,k0three/((POWER($A79,alfa03))-1)*(t0three/beta03),Lco瞬跳時間3)," ")</f>
        <v>0.47508689485229511</v>
      </c>
      <c r="N79">
        <f t="shared" si="41"/>
        <v>2000</v>
      </c>
      <c r="O79">
        <f t="shared" si="42"/>
        <v>150</v>
      </c>
      <c r="Q79">
        <f t="shared" si="43"/>
        <v>0.65</v>
      </c>
      <c r="R79">
        <f>IF(协调曲线图!$S$29="是，LCO绘图",IF((k0four/((POWER($A79,alfa04))-1)*(t0four/beta04))&gt;Lco瞬跳時間4,k0four/((POWER($A79,alfa04))-1)*(t0four/beta04),Lco瞬跳時間4)," ")</f>
        <v>0.58066176037502726</v>
      </c>
      <c r="S79">
        <f t="shared" si="44"/>
        <v>2500</v>
      </c>
      <c r="T79">
        <f t="shared" si="45"/>
        <v>150</v>
      </c>
      <c r="V79">
        <f t="shared" si="46"/>
        <v>0.85</v>
      </c>
      <c r="W79">
        <f>IF(协调曲线图!$S$36="是，LCO绘图",IF((k0five/((POWER($A79,alfa05))-1)*(t0five/beta05))&gt;Lco瞬跳時間5,k0five/((POWER($A79,alfa05))-1)*(t0five/beta05),Lco瞬跳時間5)," ")</f>
        <v>0.68623662589775958</v>
      </c>
      <c r="X79">
        <f t="shared" si="47"/>
        <v>3000</v>
      </c>
      <c r="Y79">
        <f t="shared" si="48"/>
        <v>150</v>
      </c>
      <c r="AA79">
        <f t="shared" si="49"/>
        <v>1.05</v>
      </c>
      <c r="AB79">
        <f>IF(协调曲线图!$S$43="是，LCO绘图",IF((k0six/((POWER($A79,alfa06))-1)*(t0six/beta06))&gt;Lco瞬跳時間6,k0six/((POWER($A79,alfa06))-1)*(t0six/beta06),Lco瞬跳時間6)," ")</f>
        <v>0.84459892418185789</v>
      </c>
      <c r="AC79">
        <f t="shared" si="50"/>
        <v>5000</v>
      </c>
      <c r="AD79">
        <f t="shared" si="51"/>
        <v>300</v>
      </c>
    </row>
    <row r="80" spans="1:30">
      <c r="A80">
        <v>73</v>
      </c>
      <c r="B80">
        <f t="shared" si="36"/>
        <v>5.2610366543026151E-2</v>
      </c>
      <c r="C80">
        <f>IF(协调曲线图!$S$8="是，LCO绘图",IF((k0one/((POWER($A80,alfa01))-1)*(t0one/beta01))&gt;Lco瞬跳時間1,k0one/((POWER($A80,alfa01))-1)*(t0one/beta01),Lco瞬跳時間1)," ")</f>
        <v>0.26305183271513072</v>
      </c>
      <c r="D80">
        <f t="shared" si="52"/>
        <v>1050</v>
      </c>
      <c r="E80">
        <f t="shared" si="53"/>
        <v>150</v>
      </c>
      <c r="G80">
        <f t="shared" si="37"/>
        <v>0.25</v>
      </c>
      <c r="H80">
        <f>IF(协调曲线图!$S$15="是，LCO绘图",IF((k0two/((POWER($A80,alfa02))-1)*(t0two/beta02))&gt;Lco瞬跳時間2,k0two/((POWER($A80,alfa02))-1)*(t0two/beta02),Lco瞬跳時間2)," ")</f>
        <v>0.368272565801183</v>
      </c>
      <c r="I80">
        <f t="shared" si="38"/>
        <v>1500</v>
      </c>
      <c r="J80">
        <f t="shared" si="39"/>
        <v>150</v>
      </c>
      <c r="L80">
        <f t="shared" si="40"/>
        <v>0.45</v>
      </c>
      <c r="M80">
        <f>IF(协调曲线图!$S$22="是，LCO绘图",IF((k0three/((POWER($A80,alfa03))-1)*(t0three/beta03))&gt;Lco瞬跳時間3,k0three/((POWER($A80,alfa03))-1)*(t0three/beta03),Lco瞬跳時間3)," ")</f>
        <v>0.47349329888723535</v>
      </c>
      <c r="N80">
        <f t="shared" si="41"/>
        <v>2000</v>
      </c>
      <c r="O80">
        <f t="shared" si="42"/>
        <v>150</v>
      </c>
      <c r="Q80">
        <f t="shared" si="43"/>
        <v>0.65</v>
      </c>
      <c r="R80">
        <f>IF(协调曲线图!$S$29="是，LCO绘图",IF((k0four/((POWER($A80,alfa04))-1)*(t0four/beta04))&gt;Lco瞬跳時間4,k0four/((POWER($A80,alfa04))-1)*(t0four/beta04),Lco瞬跳時間4)," ")</f>
        <v>0.57871403197328763</v>
      </c>
      <c r="S80">
        <f t="shared" si="44"/>
        <v>2500</v>
      </c>
      <c r="T80">
        <f t="shared" si="45"/>
        <v>150</v>
      </c>
      <c r="V80">
        <f t="shared" si="46"/>
        <v>0.85</v>
      </c>
      <c r="W80">
        <f>IF(协调曲线图!$S$36="是，LCO绘图",IF((k0five/((POWER($A80,alfa05))-1)*(t0five/beta05))&gt;Lco瞬跳時間5,k0five/((POWER($A80,alfa05))-1)*(t0five/beta05),Lco瞬跳時間5)," ")</f>
        <v>0.68393476505933992</v>
      </c>
      <c r="X80">
        <f t="shared" si="47"/>
        <v>3000</v>
      </c>
      <c r="Y80">
        <f t="shared" si="48"/>
        <v>150</v>
      </c>
      <c r="AA80">
        <f t="shared" si="49"/>
        <v>1.05</v>
      </c>
      <c r="AB80">
        <f>IF(协调曲线图!$S$43="是，LCO绘图",IF((k0six/((POWER($A80,alfa06))-1)*(t0six/beta06))&gt;Lco瞬跳時間6,k0six/((POWER($A80,alfa06))-1)*(t0six/beta06),Lco瞬跳時間6)," ")</f>
        <v>0.84176586468841841</v>
      </c>
      <c r="AC80">
        <f t="shared" si="50"/>
        <v>5000</v>
      </c>
      <c r="AD80">
        <f t="shared" si="51"/>
        <v>300</v>
      </c>
    </row>
    <row r="81" spans="1:30">
      <c r="A81">
        <v>74</v>
      </c>
      <c r="B81">
        <f t="shared" si="36"/>
        <v>5.2436821982058207E-2</v>
      </c>
      <c r="C81">
        <f>IF(协调曲线图!$S$8="是，LCO绘图",IF((k0one/((POWER($A81,alfa01))-1)*(t0one/beta01))&gt;Lco瞬跳時間1,k0one/((POWER($A81,alfa01))-1)*(t0one/beta01),Lco瞬跳時間1)," ")</f>
        <v>0.26218410991029101</v>
      </c>
      <c r="D81">
        <f t="shared" si="52"/>
        <v>1050</v>
      </c>
      <c r="E81">
        <f t="shared" si="53"/>
        <v>150</v>
      </c>
      <c r="G81">
        <f t="shared" si="37"/>
        <v>0.25</v>
      </c>
      <c r="H81">
        <f>IF(协调曲线图!$S$15="是，LCO绘图",IF((k0two/((POWER($A81,alfa02))-1)*(t0two/beta02))&gt;Lco瞬跳時間2,k0two/((POWER($A81,alfa02))-1)*(t0two/beta02),Lco瞬跳時間2)," ")</f>
        <v>0.36705775387440742</v>
      </c>
      <c r="I81">
        <f t="shared" si="38"/>
        <v>1500</v>
      </c>
      <c r="J81">
        <f t="shared" si="39"/>
        <v>150</v>
      </c>
      <c r="L81">
        <f t="shared" si="40"/>
        <v>0.45</v>
      </c>
      <c r="M81">
        <f>IF(协调曲线图!$S$22="是，LCO绘图",IF((k0three/((POWER($A81,alfa03))-1)*(t0three/beta03))&gt;Lco瞬跳時間3,k0three/((POWER($A81,alfa03))-1)*(t0three/beta03),Lco瞬跳時間3)," ")</f>
        <v>0.47193139783852389</v>
      </c>
      <c r="N81">
        <f t="shared" si="41"/>
        <v>2000</v>
      </c>
      <c r="O81">
        <f t="shared" si="42"/>
        <v>150</v>
      </c>
      <c r="Q81">
        <f t="shared" si="43"/>
        <v>0.65</v>
      </c>
      <c r="R81">
        <f>IF(协调曲线图!$S$29="是，LCO绘图",IF((k0four/((POWER($A81,alfa04))-1)*(t0four/beta04))&gt;Lco瞬跳時間4,k0four/((POWER($A81,alfa04))-1)*(t0four/beta04),Lco瞬跳時間4)," ")</f>
        <v>0.57680504180264025</v>
      </c>
      <c r="S81">
        <f t="shared" si="44"/>
        <v>2500</v>
      </c>
      <c r="T81">
        <f t="shared" si="45"/>
        <v>150</v>
      </c>
      <c r="V81">
        <f t="shared" si="46"/>
        <v>0.85</v>
      </c>
      <c r="W81">
        <f>IF(协调曲线图!$S$36="是，LCO绘图",IF((k0five/((POWER($A81,alfa05))-1)*(t0five/beta05))&gt;Lco瞬跳時間5,k0five/((POWER($A81,alfa05))-1)*(t0five/beta05),Lco瞬跳時間5)," ")</f>
        <v>0.68167868576675672</v>
      </c>
      <c r="X81">
        <f t="shared" si="47"/>
        <v>3000</v>
      </c>
      <c r="Y81">
        <f t="shared" si="48"/>
        <v>150</v>
      </c>
      <c r="AA81">
        <f t="shared" si="49"/>
        <v>1.05</v>
      </c>
      <c r="AB81">
        <f>IF(协调曲线图!$S$43="是，LCO绘图",IF((k0six/((POWER($A81,alfa06))-1)*(t0six/beta06))&gt;Lco瞬跳時間6,k0six/((POWER($A81,alfa06))-1)*(t0six/beta06),Lco瞬跳時間6)," ")</f>
        <v>0.83898915171293131</v>
      </c>
      <c r="AC81">
        <f t="shared" si="50"/>
        <v>5000</v>
      </c>
      <c r="AD81">
        <f t="shared" si="51"/>
        <v>300</v>
      </c>
    </row>
    <row r="82" spans="1:30">
      <c r="A82">
        <v>75</v>
      </c>
      <c r="B82">
        <f t="shared" si="36"/>
        <v>5.2266679461976578E-2</v>
      </c>
      <c r="C82">
        <f>IF(协调曲线图!$S$8="是，LCO绘图",IF((k0one/((POWER($A82,alfa01))-1)*(t0one/beta01))&gt;Lco瞬跳時間1,k0one/((POWER($A82,alfa01))-1)*(t0one/beta01),Lco瞬跳時間1)," ")</f>
        <v>0.26133339730988286</v>
      </c>
      <c r="D82">
        <f t="shared" si="52"/>
        <v>1050</v>
      </c>
      <c r="E82">
        <f t="shared" si="53"/>
        <v>150</v>
      </c>
      <c r="G82">
        <f t="shared" si="37"/>
        <v>0.25</v>
      </c>
      <c r="H82">
        <f>IF(协调曲线图!$S$15="是，LCO绘图",IF((k0two/((POWER($A82,alfa02))-1)*(t0two/beta02))&gt;Lco瞬跳時間2,k0two/((POWER($A82,alfa02))-1)*(t0two/beta02),Lco瞬跳時間2)," ")</f>
        <v>0.36586675623383602</v>
      </c>
      <c r="I82">
        <f t="shared" si="38"/>
        <v>1500</v>
      </c>
      <c r="J82">
        <f t="shared" si="39"/>
        <v>150</v>
      </c>
      <c r="L82">
        <f t="shared" si="40"/>
        <v>0.45</v>
      </c>
      <c r="M82">
        <f>IF(协调曲线图!$S$22="是，LCO绘图",IF((k0three/((POWER($A82,alfa03))-1)*(t0three/beta03))&gt;Lco瞬跳時間3,k0three/((POWER($A82,alfa03))-1)*(t0three/beta03),Lco瞬跳時間3)," ")</f>
        <v>0.47040011515778923</v>
      </c>
      <c r="N82">
        <f t="shared" si="41"/>
        <v>2000</v>
      </c>
      <c r="O82">
        <f t="shared" si="42"/>
        <v>150</v>
      </c>
      <c r="Q82">
        <f t="shared" si="43"/>
        <v>0.65</v>
      </c>
      <c r="R82">
        <f>IF(协调曲线图!$S$29="是，LCO绘图",IF((k0four/((POWER($A82,alfa04))-1)*(t0four/beta04))&gt;Lco瞬跳時間4,k0four/((POWER($A82,alfa04))-1)*(t0four/beta04),Lco瞬跳時間4)," ")</f>
        <v>0.57493347408174234</v>
      </c>
      <c r="S82">
        <f t="shared" si="44"/>
        <v>2500</v>
      </c>
      <c r="T82">
        <f t="shared" si="45"/>
        <v>150</v>
      </c>
      <c r="V82">
        <f t="shared" si="46"/>
        <v>0.85</v>
      </c>
      <c r="W82">
        <f>IF(协调曲线图!$S$36="是，LCO绘图",IF((k0five/((POWER($A82,alfa05))-1)*(t0five/beta05))&gt;Lco瞬跳時間5,k0five/((POWER($A82,alfa05))-1)*(t0five/beta05),Lco瞬跳時間5)," ")</f>
        <v>0.67946683300569555</v>
      </c>
      <c r="X82">
        <f t="shared" si="47"/>
        <v>3000</v>
      </c>
      <c r="Y82">
        <f t="shared" si="48"/>
        <v>150</v>
      </c>
      <c r="AA82">
        <f t="shared" si="49"/>
        <v>1.05</v>
      </c>
      <c r="AB82">
        <f>IF(协调曲线图!$S$43="是，LCO绘图",IF((k0six/((POWER($A82,alfa06))-1)*(t0six/beta06))&gt;Lco瞬跳時間6,k0six/((POWER($A82,alfa06))-1)*(t0six/beta06),Lco瞬跳時間6)," ")</f>
        <v>0.83626687139162525</v>
      </c>
      <c r="AC82">
        <f t="shared" si="50"/>
        <v>5000</v>
      </c>
      <c r="AD82">
        <f t="shared" si="51"/>
        <v>300</v>
      </c>
    </row>
    <row r="83" spans="1:30">
      <c r="A83">
        <v>76</v>
      </c>
      <c r="B83">
        <f t="shared" si="36"/>
        <v>5.2099825035911797E-2</v>
      </c>
      <c r="C83">
        <f>IF(协调曲线图!$S$8="是，LCO绘图",IF((k0one/((POWER($A83,alfa01))-1)*(t0one/beta01))&gt;Lco瞬跳時間1,k0one/((POWER($A83,alfa01))-1)*(t0one/beta01),Lco瞬跳時間1)," ")</f>
        <v>0.26049912517955898</v>
      </c>
      <c r="D83">
        <f t="shared" si="52"/>
        <v>1050</v>
      </c>
      <c r="E83">
        <f t="shared" si="53"/>
        <v>150</v>
      </c>
      <c r="G83">
        <f t="shared" si="37"/>
        <v>0.25</v>
      </c>
      <c r="H83">
        <f>IF(协调曲线图!$S$15="是，LCO绘图",IF((k0two/((POWER($A83,alfa02))-1)*(t0two/beta02))&gt;Lco瞬跳時間2,k0two/((POWER($A83,alfa02))-1)*(t0two/beta02),Lco瞬跳時間2)," ")</f>
        <v>0.36469877525138256</v>
      </c>
      <c r="I83">
        <f t="shared" si="38"/>
        <v>1500</v>
      </c>
      <c r="J83">
        <f t="shared" si="39"/>
        <v>150</v>
      </c>
      <c r="L83">
        <f t="shared" si="40"/>
        <v>0.45</v>
      </c>
      <c r="M83">
        <f>IF(协调曲线图!$S$22="是，LCO绘图",IF((k0three/((POWER($A83,alfa03))-1)*(t0three/beta03))&gt;Lco瞬跳時間3,k0three/((POWER($A83,alfa03))-1)*(t0three/beta03),Lco瞬跳時間3)," ")</f>
        <v>0.46889842532320619</v>
      </c>
      <c r="N83">
        <f t="shared" si="41"/>
        <v>2000</v>
      </c>
      <c r="O83">
        <f t="shared" si="42"/>
        <v>150</v>
      </c>
      <c r="Q83">
        <f t="shared" si="43"/>
        <v>0.65</v>
      </c>
      <c r="R83">
        <f>IF(协调曲线图!$S$29="是，LCO绘图",IF((k0four/((POWER($A83,alfa04))-1)*(t0four/beta04))&gt;Lco瞬跳時間4,k0four/((POWER($A83,alfa04))-1)*(t0four/beta04),Lco瞬跳時間4)," ")</f>
        <v>0.57309807539502977</v>
      </c>
      <c r="S83">
        <f t="shared" si="44"/>
        <v>2500</v>
      </c>
      <c r="T83">
        <f t="shared" si="45"/>
        <v>150</v>
      </c>
      <c r="V83">
        <f t="shared" si="46"/>
        <v>0.85</v>
      </c>
      <c r="W83">
        <f>IF(协调曲线图!$S$36="是，LCO绘图",IF((k0five/((POWER($A83,alfa05))-1)*(t0five/beta05))&gt;Lco瞬跳時間5,k0five/((POWER($A83,alfa05))-1)*(t0five/beta05),Lco瞬跳時間5)," ")</f>
        <v>0.67729772546685341</v>
      </c>
      <c r="X83">
        <f t="shared" si="47"/>
        <v>3000</v>
      </c>
      <c r="Y83">
        <f t="shared" si="48"/>
        <v>150</v>
      </c>
      <c r="AA83">
        <f t="shared" si="49"/>
        <v>1.05</v>
      </c>
      <c r="AB83">
        <f>IF(协调曲线图!$S$43="是，LCO绘图",IF((k0six/((POWER($A83,alfa06))-1)*(t0six/beta06))&gt;Lco瞬跳時間6,k0six/((POWER($A83,alfa06))-1)*(t0six/beta06),Lco瞬跳時間6)," ")</f>
        <v>0.83359720057458875</v>
      </c>
      <c r="AC83">
        <f t="shared" si="50"/>
        <v>5000</v>
      </c>
      <c r="AD83">
        <f t="shared" si="51"/>
        <v>300</v>
      </c>
    </row>
    <row r="84" spans="1:30">
      <c r="A84">
        <v>77</v>
      </c>
      <c r="B84">
        <f t="shared" si="36"/>
        <v>5.1936150084440448E-2</v>
      </c>
      <c r="C84">
        <f>IF(协调曲线图!$S$8="是，LCO绘图",IF((k0one/((POWER($A84,alfa01))-1)*(t0one/beta01))&gt;Lco瞬跳時間1,k0one/((POWER($A84,alfa01))-1)*(t0one/beta01),Lco瞬跳時間1)," ")</f>
        <v>0.25968075042220223</v>
      </c>
      <c r="D84">
        <f t="shared" si="52"/>
        <v>1050</v>
      </c>
      <c r="E84">
        <f t="shared" si="53"/>
        <v>150</v>
      </c>
      <c r="G84">
        <f t="shared" si="37"/>
        <v>0.25</v>
      </c>
      <c r="H84">
        <f>IF(协调曲线图!$S$15="是，LCO绘图",IF((k0two/((POWER($A84,alfa02))-1)*(t0two/beta02))&gt;Lco瞬跳時間2,k0two/((POWER($A84,alfa02))-1)*(t0two/beta02),Lco瞬跳時間2)," ")</f>
        <v>0.36355305059108312</v>
      </c>
      <c r="I84">
        <f t="shared" si="38"/>
        <v>1500</v>
      </c>
      <c r="J84">
        <f t="shared" si="39"/>
        <v>150</v>
      </c>
      <c r="L84">
        <f t="shared" si="40"/>
        <v>0.45</v>
      </c>
      <c r="M84">
        <f>IF(协调曲线图!$S$22="是，LCO绘图",IF((k0three/((POWER($A84,alfa03))-1)*(t0three/beta03))&gt;Lco瞬跳時間3,k0three/((POWER($A84,alfa03))-1)*(t0three/beta03),Lco瞬跳時間3)," ")</f>
        <v>0.46742535075996411</v>
      </c>
      <c r="N84">
        <f t="shared" si="41"/>
        <v>2000</v>
      </c>
      <c r="O84">
        <f t="shared" si="42"/>
        <v>150</v>
      </c>
      <c r="Q84">
        <f t="shared" si="43"/>
        <v>0.65</v>
      </c>
      <c r="R84">
        <f>IF(协调曲线图!$S$29="是，LCO绘图",IF((k0four/((POWER($A84,alfa04))-1)*(t0four/beta04))&gt;Lco瞬跳時間4,k0four/((POWER($A84,alfa04))-1)*(t0four/beta04),Lco瞬跳時間4)," ")</f>
        <v>0.57129765092884499</v>
      </c>
      <c r="S84">
        <f t="shared" si="44"/>
        <v>2500</v>
      </c>
      <c r="T84">
        <f t="shared" si="45"/>
        <v>150</v>
      </c>
      <c r="V84">
        <f t="shared" si="46"/>
        <v>0.85</v>
      </c>
      <c r="W84">
        <f>IF(协调曲线图!$S$36="是，LCO绘图",IF((k0five/((POWER($A84,alfa05))-1)*(t0five/beta05))&gt;Lco瞬跳時間5,k0five/((POWER($A84,alfa05))-1)*(t0five/beta05),Lco瞬跳時間5)," ")</f>
        <v>0.67516995109772593</v>
      </c>
      <c r="X84">
        <f t="shared" si="47"/>
        <v>3000</v>
      </c>
      <c r="Y84">
        <f t="shared" si="48"/>
        <v>150</v>
      </c>
      <c r="AA84">
        <f t="shared" si="49"/>
        <v>1.05</v>
      </c>
      <c r="AB84">
        <f>IF(协调曲线图!$S$43="是，LCO绘图",IF((k0six/((POWER($A84,alfa06))-1)*(t0six/beta06))&gt;Lco瞬跳時間6,k0six/((POWER($A84,alfa06))-1)*(t0six/beta06),Lco瞬跳時間6)," ")</f>
        <v>0.83097840135104717</v>
      </c>
      <c r="AC84">
        <f t="shared" si="50"/>
        <v>5000</v>
      </c>
      <c r="AD84">
        <f t="shared" si="51"/>
        <v>300</v>
      </c>
    </row>
    <row r="85" spans="1:30">
      <c r="A85">
        <v>78</v>
      </c>
      <c r="B85">
        <f t="shared" si="36"/>
        <v>5.1775550998356706E-2</v>
      </c>
      <c r="C85">
        <f>IF(协调曲线图!$S$8="是，LCO绘图",IF((k0one/((POWER($A85,alfa01))-1)*(t0one/beta01))&gt;Lco瞬跳時間1,k0one/((POWER($A85,alfa01))-1)*(t0one/beta01),Lco瞬跳時間1)," ")</f>
        <v>0.2588777549917835</v>
      </c>
      <c r="D85">
        <f t="shared" si="52"/>
        <v>1050</v>
      </c>
      <c r="E85">
        <f t="shared" si="53"/>
        <v>150</v>
      </c>
      <c r="G85">
        <f t="shared" si="37"/>
        <v>0.25</v>
      </c>
      <c r="H85">
        <f>IF(协调曲线图!$S$15="是，LCO绘图",IF((k0two/((POWER($A85,alfa02))-1)*(t0two/beta02))&gt;Lco瞬跳時間2,k0two/((POWER($A85,alfa02))-1)*(t0two/beta02),Lco瞬跳時間2)," ")</f>
        <v>0.36242885698849692</v>
      </c>
      <c r="I85">
        <f t="shared" si="38"/>
        <v>1500</v>
      </c>
      <c r="J85">
        <f t="shared" si="39"/>
        <v>150</v>
      </c>
      <c r="L85">
        <f t="shared" si="40"/>
        <v>0.45</v>
      </c>
      <c r="M85">
        <f>IF(协调曲线图!$S$22="是，LCO绘图",IF((k0three/((POWER($A85,alfa03))-1)*(t0three/beta03))&gt;Lco瞬跳時間3,k0three/((POWER($A85,alfa03))-1)*(t0three/beta03),Lco瞬跳時間3)," ")</f>
        <v>0.46597995898521039</v>
      </c>
      <c r="N85">
        <f t="shared" si="41"/>
        <v>2000</v>
      </c>
      <c r="O85">
        <f t="shared" si="42"/>
        <v>150</v>
      </c>
      <c r="Q85">
        <f t="shared" si="43"/>
        <v>0.65</v>
      </c>
      <c r="R85">
        <f>IF(协调曲线图!$S$29="是，LCO绘图",IF((k0four/((POWER($A85,alfa04))-1)*(t0four/beta04))&gt;Lco瞬跳時間4,k0four/((POWER($A85,alfa04))-1)*(t0four/beta04),Lco瞬跳時間4)," ")</f>
        <v>0.56953106098192374</v>
      </c>
      <c r="S85">
        <f t="shared" si="44"/>
        <v>2500</v>
      </c>
      <c r="T85">
        <f t="shared" si="45"/>
        <v>150</v>
      </c>
      <c r="V85">
        <f t="shared" si="46"/>
        <v>0.85</v>
      </c>
      <c r="W85">
        <f>IF(协调曲线图!$S$36="是，LCO绘图",IF((k0five/((POWER($A85,alfa05))-1)*(t0five/beta05))&gt;Lco瞬跳時間5,k0five/((POWER($A85,alfa05))-1)*(t0five/beta05),Lco瞬跳時間5)," ")</f>
        <v>0.67308216297863721</v>
      </c>
      <c r="X85">
        <f t="shared" si="47"/>
        <v>3000</v>
      </c>
      <c r="Y85">
        <f t="shared" si="48"/>
        <v>150</v>
      </c>
      <c r="AA85">
        <f t="shared" si="49"/>
        <v>1.05</v>
      </c>
      <c r="AB85">
        <f>IF(协调曲线图!$S$43="是，LCO绘图",IF((k0six/((POWER($A85,alfa06))-1)*(t0six/beta06))&gt;Lco瞬跳時間6,k0six/((POWER($A85,alfa06))-1)*(t0six/beta06),Lco瞬跳時間6)," ")</f>
        <v>0.8284088159737073</v>
      </c>
      <c r="AC85">
        <f t="shared" si="50"/>
        <v>5000</v>
      </c>
      <c r="AD85">
        <f t="shared" si="51"/>
        <v>300</v>
      </c>
    </row>
    <row r="86" spans="1:30">
      <c r="A86">
        <v>79</v>
      </c>
      <c r="B86">
        <f t="shared" si="36"/>
        <v>5.1617928884263871E-2</v>
      </c>
      <c r="C86">
        <f>IF(协调曲线图!$S$8="是，LCO绘图",IF((k0one/((POWER($A86,alfa01))-1)*(t0one/beta01))&gt;Lco瞬跳時間1,k0one/((POWER($A86,alfa01))-1)*(t0one/beta01),Lco瞬跳時間1)," ")</f>
        <v>0.25808964442131932</v>
      </c>
      <c r="D86">
        <f t="shared" si="52"/>
        <v>1050</v>
      </c>
      <c r="E86">
        <f t="shared" si="53"/>
        <v>150</v>
      </c>
      <c r="G86">
        <f t="shared" si="37"/>
        <v>0.25</v>
      </c>
      <c r="H86">
        <f>IF(协调曲线图!$S$15="是，LCO绘图",IF((k0two/((POWER($A86,alfa02))-1)*(t0two/beta02))&gt;Lco瞬跳時間2,k0two/((POWER($A86,alfa02))-1)*(t0two/beta02),Lco瞬跳時間2)," ")</f>
        <v>0.3613255021898471</v>
      </c>
      <c r="I86">
        <f t="shared" si="38"/>
        <v>1500</v>
      </c>
      <c r="J86">
        <f t="shared" si="39"/>
        <v>150</v>
      </c>
      <c r="L86">
        <f t="shared" si="40"/>
        <v>0.45</v>
      </c>
      <c r="M86">
        <f>IF(协调曲线图!$S$22="是，LCO绘图",IF((k0three/((POWER($A86,alfa03))-1)*(t0three/beta03))&gt;Lco瞬跳時間3,k0three/((POWER($A86,alfa03))-1)*(t0three/beta03),Lco瞬跳時間3)," ")</f>
        <v>0.46456135995837489</v>
      </c>
      <c r="N86">
        <f t="shared" si="41"/>
        <v>2000</v>
      </c>
      <c r="O86">
        <f t="shared" si="42"/>
        <v>150</v>
      </c>
      <c r="Q86">
        <f t="shared" si="43"/>
        <v>0.65</v>
      </c>
      <c r="R86">
        <f>IF(协调曲线图!$S$29="是，LCO绘图",IF((k0four/((POWER($A86,alfa04))-1)*(t0four/beta04))&gt;Lco瞬跳時間4,k0four/((POWER($A86,alfa04))-1)*(t0four/beta04),Lco瞬跳時間4)," ")</f>
        <v>0.56779721772690261</v>
      </c>
      <c r="S86">
        <f t="shared" si="44"/>
        <v>2500</v>
      </c>
      <c r="T86">
        <f t="shared" si="45"/>
        <v>150</v>
      </c>
      <c r="V86">
        <f t="shared" si="46"/>
        <v>0.85</v>
      </c>
      <c r="W86">
        <f>IF(协调曲线图!$S$36="是，LCO绘图",IF((k0five/((POWER($A86,alfa05))-1)*(t0five/beta05))&gt;Lco瞬跳時間5,k0five/((POWER($A86,alfa05))-1)*(t0five/beta05),Lco瞬跳時間5)," ")</f>
        <v>0.67103307549543034</v>
      </c>
      <c r="X86">
        <f t="shared" si="47"/>
        <v>3000</v>
      </c>
      <c r="Y86">
        <f t="shared" si="48"/>
        <v>150</v>
      </c>
      <c r="AA86">
        <f t="shared" si="49"/>
        <v>1.05</v>
      </c>
      <c r="AB86">
        <f>IF(协调曲线图!$S$43="是，LCO绘图",IF((k0six/((POWER($A86,alfa06))-1)*(t0six/beta06))&gt;Lco瞬跳時間6,k0six/((POWER($A86,alfa06))-1)*(t0six/beta06),Lco瞬跳時間6)," ")</f>
        <v>0.82588686214822193</v>
      </c>
      <c r="AC86">
        <f t="shared" si="50"/>
        <v>5000</v>
      </c>
      <c r="AD86">
        <f t="shared" si="51"/>
        <v>300</v>
      </c>
    </row>
    <row r="87" spans="1:30">
      <c r="A87">
        <v>80</v>
      </c>
      <c r="B87">
        <f t="shared" si="36"/>
        <v>5.1463189291070834E-2</v>
      </c>
      <c r="C87">
        <f>IF(协调曲线图!$S$8="是，LCO绘图",IF((k0one/((POWER($A87,alfa01))-1)*(t0one/beta01))&gt;Lco瞬跳時間1,k0one/((POWER($A87,alfa01))-1)*(t0one/beta01),Lco瞬跳時間1)," ")</f>
        <v>0.25731594645535416</v>
      </c>
      <c r="D87">
        <f t="shared" si="52"/>
        <v>1050</v>
      </c>
      <c r="E87">
        <f t="shared" si="53"/>
        <v>150</v>
      </c>
      <c r="G87">
        <f t="shared" si="37"/>
        <v>0.25</v>
      </c>
      <c r="H87">
        <f>IF(协调曲线图!$S$15="是，LCO绘图",IF((k0two/((POWER($A87,alfa02))-1)*(t0two/beta02))&gt;Lco瞬跳時間2,k0two/((POWER($A87,alfa02))-1)*(t0two/beta02),Lco瞬跳時間2)," ")</f>
        <v>0.36024232503749581</v>
      </c>
      <c r="I87">
        <f t="shared" si="38"/>
        <v>1500</v>
      </c>
      <c r="J87">
        <f t="shared" si="39"/>
        <v>150</v>
      </c>
      <c r="L87">
        <f t="shared" si="40"/>
        <v>0.45</v>
      </c>
      <c r="M87">
        <f>IF(协调曲线图!$S$22="是，LCO绘图",IF((k0three/((POWER($A87,alfa03))-1)*(t0three/beta03))&gt;Lco瞬跳時間3,k0three/((POWER($A87,alfa03))-1)*(t0three/beta03),Lco瞬跳時間3)," ")</f>
        <v>0.46316870361963752</v>
      </c>
      <c r="N87">
        <f t="shared" si="41"/>
        <v>2000</v>
      </c>
      <c r="O87">
        <f t="shared" si="42"/>
        <v>150</v>
      </c>
      <c r="Q87">
        <f t="shared" si="43"/>
        <v>0.65</v>
      </c>
      <c r="R87">
        <f>IF(协调曲线图!$S$29="是，LCO绘图",IF((k0four/((POWER($A87,alfa04))-1)*(t0four/beta04))&gt;Lco瞬跳時間4,k0four/((POWER($A87,alfa04))-1)*(t0four/beta04),Lco瞬跳時間4)," ")</f>
        <v>0.56609508220177918</v>
      </c>
      <c r="S87">
        <f t="shared" si="44"/>
        <v>2500</v>
      </c>
      <c r="T87">
        <f t="shared" si="45"/>
        <v>150</v>
      </c>
      <c r="V87">
        <f t="shared" si="46"/>
        <v>0.85</v>
      </c>
      <c r="W87">
        <f>IF(协调曲线图!$S$36="是，LCO绘图",IF((k0five/((POWER($A87,alfa05))-1)*(t0five/beta05))&gt;Lco瞬跳時間5,k0five/((POWER($A87,alfa05))-1)*(t0five/beta05),Lco瞬跳時間5)," ")</f>
        <v>0.66902146078392088</v>
      </c>
      <c r="X87">
        <f t="shared" si="47"/>
        <v>3000</v>
      </c>
      <c r="Y87">
        <f t="shared" si="48"/>
        <v>150</v>
      </c>
      <c r="AA87">
        <f t="shared" si="49"/>
        <v>1.05</v>
      </c>
      <c r="AB87">
        <f>IF(协调曲线图!$S$43="是，LCO绘图",IF((k0six/((POWER($A87,alfa06))-1)*(t0six/beta06))&gt;Lco瞬跳時間6,k0six/((POWER($A87,alfa06))-1)*(t0six/beta06),Lco瞬跳時間6)," ")</f>
        <v>0.82341102865713334</v>
      </c>
      <c r="AC87">
        <f t="shared" si="50"/>
        <v>5000</v>
      </c>
      <c r="AD87">
        <f t="shared" si="51"/>
        <v>300</v>
      </c>
    </row>
    <row r="88" spans="1:30">
      <c r="A88">
        <v>81</v>
      </c>
      <c r="B88">
        <f t="shared" si="36"/>
        <v>5.1311241955659434E-2</v>
      </c>
      <c r="C88">
        <f>IF(协调曲线图!$S$8="是，LCO绘图",IF((k0one/((POWER($A88,alfa01))-1)*(t0one/beta01))&gt;Lco瞬跳時間1,k0one/((POWER($A88,alfa01))-1)*(t0one/beta01),Lco瞬跳時間1)," ")</f>
        <v>0.25655620977829713</v>
      </c>
      <c r="D88">
        <f t="shared" si="52"/>
        <v>1050</v>
      </c>
      <c r="E88">
        <f t="shared" si="53"/>
        <v>150</v>
      </c>
      <c r="G88">
        <f t="shared" si="37"/>
        <v>0.25</v>
      </c>
      <c r="H88">
        <f>IF(协调曲线图!$S$15="是，LCO绘图",IF((k0two/((POWER($A88,alfa02))-1)*(t0two/beta02))&gt;Lco瞬跳時間2,k0two/((POWER($A88,alfa02))-1)*(t0two/beta02),Lco瞬跳時間2)," ")</f>
        <v>0.35917869368961602</v>
      </c>
      <c r="I88">
        <f t="shared" si="38"/>
        <v>1500</v>
      </c>
      <c r="J88">
        <f t="shared" si="39"/>
        <v>150</v>
      </c>
      <c r="L88">
        <f t="shared" si="40"/>
        <v>0.45</v>
      </c>
      <c r="M88">
        <f>IF(协调曲线图!$S$22="是，LCO绘图",IF((k0three/((POWER($A88,alfa03))-1)*(t0three/beta03))&gt;Lco瞬跳時間3,k0three/((POWER($A88,alfa03))-1)*(t0three/beta03),Lco瞬跳時間3)," ")</f>
        <v>0.46180117760093492</v>
      </c>
      <c r="N88">
        <f t="shared" si="41"/>
        <v>2000</v>
      </c>
      <c r="O88">
        <f t="shared" si="42"/>
        <v>150</v>
      </c>
      <c r="Q88">
        <f t="shared" si="43"/>
        <v>0.65</v>
      </c>
      <c r="R88">
        <f>IF(协调曲线图!$S$29="是，LCO绘图",IF((k0four/((POWER($A88,alfa04))-1)*(t0four/beta04))&gt;Lco瞬跳時間4,k0four/((POWER($A88,alfa04))-1)*(t0four/beta04),Lco瞬跳時間4)," ")</f>
        <v>0.56442366151225376</v>
      </c>
      <c r="S88">
        <f t="shared" si="44"/>
        <v>2500</v>
      </c>
      <c r="T88">
        <f t="shared" si="45"/>
        <v>150</v>
      </c>
      <c r="V88">
        <f t="shared" si="46"/>
        <v>0.85</v>
      </c>
      <c r="W88">
        <f>IF(协调曲线图!$S$36="是，LCO绘图",IF((k0five/((POWER($A88,alfa05))-1)*(t0five/beta05))&gt;Lco瞬跳時間5,k0five/((POWER($A88,alfa05))-1)*(t0five/beta05),Lco瞬跳時間5)," ")</f>
        <v>0.66704614542357266</v>
      </c>
      <c r="X88">
        <f t="shared" si="47"/>
        <v>3000</v>
      </c>
      <c r="Y88">
        <f t="shared" si="48"/>
        <v>150</v>
      </c>
      <c r="AA88">
        <f t="shared" si="49"/>
        <v>1.05</v>
      </c>
      <c r="AB88">
        <f>IF(协调曲线图!$S$43="是，LCO绘图",IF((k0six/((POWER($A88,alfa06))-1)*(t0six/beta06))&gt;Lco瞬跳時間6,k0six/((POWER($A88,alfa06))-1)*(t0six/beta06),Lco瞬跳時間6)," ")</f>
        <v>0.82097987129055094</v>
      </c>
      <c r="AC88">
        <f t="shared" si="50"/>
        <v>5000</v>
      </c>
      <c r="AD88">
        <f t="shared" si="51"/>
        <v>300</v>
      </c>
    </row>
    <row r="89" spans="1:30">
      <c r="A89">
        <v>82</v>
      </c>
      <c r="B89">
        <f t="shared" si="36"/>
        <v>5.1162000566154699E-2</v>
      </c>
      <c r="C89">
        <f>IF(协调曲线图!$S$8="是，LCO绘图",IF((k0one/((POWER($A89,alfa01))-1)*(t0one/beta01))&gt;Lco瞬跳時間1,k0one/((POWER($A89,alfa01))-1)*(t0one/beta01),Lco瞬跳時間1)," ")</f>
        <v>0.25581000283077349</v>
      </c>
      <c r="D89">
        <f t="shared" si="52"/>
        <v>1050</v>
      </c>
      <c r="E89">
        <f t="shared" si="53"/>
        <v>150</v>
      </c>
      <c r="G89">
        <f t="shared" si="37"/>
        <v>0.25</v>
      </c>
      <c r="H89">
        <f>IF(协调曲线图!$S$15="是，LCO绘图",IF((k0two/((POWER($A89,alfa02))-1)*(t0two/beta02))&gt;Lco瞬跳時間2,k0two/((POWER($A89,alfa02))-1)*(t0two/beta02),Lco瞬跳時間2)," ")</f>
        <v>0.35813400396308287</v>
      </c>
      <c r="I89">
        <f t="shared" si="38"/>
        <v>1500</v>
      </c>
      <c r="J89">
        <f t="shared" si="39"/>
        <v>150</v>
      </c>
      <c r="L89">
        <f t="shared" si="40"/>
        <v>0.45</v>
      </c>
      <c r="M89">
        <f>IF(协调曲线图!$S$22="是，LCO绘图",IF((k0three/((POWER($A89,alfa03))-1)*(t0three/beta03))&gt;Lco瞬跳時間3,k0three/((POWER($A89,alfa03))-1)*(t0three/beta03),Lco瞬跳時間3)," ")</f>
        <v>0.46045800509539231</v>
      </c>
      <c r="N89">
        <f t="shared" si="41"/>
        <v>2000</v>
      </c>
      <c r="O89">
        <f t="shared" si="42"/>
        <v>150</v>
      </c>
      <c r="Q89">
        <f t="shared" si="43"/>
        <v>0.65</v>
      </c>
      <c r="R89">
        <f>IF(协调曲线图!$S$29="是，LCO绘图",IF((k0four/((POWER($A89,alfa04))-1)*(t0four/beta04))&gt;Lco瞬跳時間4,k0four/((POWER($A89,alfa04))-1)*(t0four/beta04),Lco瞬跳時間4)," ")</f>
        <v>0.56278200622770169</v>
      </c>
      <c r="S89">
        <f t="shared" si="44"/>
        <v>2500</v>
      </c>
      <c r="T89">
        <f t="shared" si="45"/>
        <v>150</v>
      </c>
      <c r="V89">
        <f t="shared" si="46"/>
        <v>0.85</v>
      </c>
      <c r="W89">
        <f>IF(协调曲线图!$S$36="是，LCO绘图",IF((k0five/((POWER($A89,alfa05))-1)*(t0five/beta05))&gt;Lco瞬跳時間5,k0five/((POWER($A89,alfa05))-1)*(t0five/beta05),Lco瞬跳時間5)," ")</f>
        <v>0.66510600736001102</v>
      </c>
      <c r="X89">
        <f t="shared" si="47"/>
        <v>3000</v>
      </c>
      <c r="Y89">
        <f t="shared" si="48"/>
        <v>150</v>
      </c>
      <c r="AA89">
        <f t="shared" si="49"/>
        <v>1.05</v>
      </c>
      <c r="AB89">
        <f>IF(协调曲线图!$S$43="是，LCO绘图",IF((k0six/((POWER($A89,alfa06))-1)*(t0six/beta06))&gt;Lco瞬跳時間6,k0six/((POWER($A89,alfa06))-1)*(t0six/beta06),Lco瞬跳時間6)," ")</f>
        <v>0.81859200905847518</v>
      </c>
      <c r="AC89">
        <f t="shared" si="50"/>
        <v>5000</v>
      </c>
      <c r="AD89">
        <f t="shared" si="51"/>
        <v>300</v>
      </c>
    </row>
    <row r="90" spans="1:30">
      <c r="A90">
        <v>83</v>
      </c>
      <c r="B90">
        <f t="shared" si="36"/>
        <v>5.1015382541373971E-2</v>
      </c>
      <c r="C90">
        <f>IF(协调曲线图!$S$8="是，LCO绘图",IF((k0one/((POWER($A90,alfa01))-1)*(t0one/beta01))&gt;Lco瞬跳時間1,k0one/((POWER($A90,alfa01))-1)*(t0one/beta01),Lco瞬跳時間1)," ")</f>
        <v>0.25507691270686983</v>
      </c>
      <c r="D90">
        <f t="shared" si="52"/>
        <v>1050</v>
      </c>
      <c r="E90">
        <f t="shared" si="53"/>
        <v>150</v>
      </c>
      <c r="G90">
        <f t="shared" si="37"/>
        <v>0.25</v>
      </c>
      <c r="H90">
        <f>IF(协调曲线图!$S$15="是，LCO绘图",IF((k0two/((POWER($A90,alfa02))-1)*(t0two/beta02))&gt;Lco瞬跳時間2,k0two/((POWER($A90,alfa02))-1)*(t0two/beta02),Lco瞬跳時間2)," ")</f>
        <v>0.35710767778961777</v>
      </c>
      <c r="I90">
        <f t="shared" si="38"/>
        <v>1500</v>
      </c>
      <c r="J90">
        <f t="shared" si="39"/>
        <v>150</v>
      </c>
      <c r="L90">
        <f t="shared" si="40"/>
        <v>0.45</v>
      </c>
      <c r="M90">
        <f>IF(协调曲线图!$S$22="是，LCO绘图",IF((k0three/((POWER($A90,alfa03))-1)*(t0three/beta03))&gt;Lco瞬跳時間3,k0three/((POWER($A90,alfa03))-1)*(t0three/beta03),Lco瞬跳時間3)," ")</f>
        <v>0.45913844287236572</v>
      </c>
      <c r="N90">
        <f t="shared" si="41"/>
        <v>2000</v>
      </c>
      <c r="O90">
        <f t="shared" si="42"/>
        <v>150</v>
      </c>
      <c r="Q90">
        <f t="shared" si="43"/>
        <v>0.65</v>
      </c>
      <c r="R90">
        <f>IF(协调曲线图!$S$29="是，LCO绘图",IF((k0four/((POWER($A90,alfa04))-1)*(t0four/beta04))&gt;Lco瞬跳時間4,k0four/((POWER($A90,alfa04))-1)*(t0four/beta04),Lco瞬跳時間4)," ")</f>
        <v>0.5611692079551136</v>
      </c>
      <c r="S90">
        <f t="shared" si="44"/>
        <v>2500</v>
      </c>
      <c r="T90">
        <f t="shared" si="45"/>
        <v>150</v>
      </c>
      <c r="V90">
        <f t="shared" si="46"/>
        <v>0.85</v>
      </c>
      <c r="W90">
        <f>IF(协调曲线图!$S$36="是，LCO绘图",IF((k0five/((POWER($A90,alfa05))-1)*(t0five/beta05))&gt;Lco瞬跳時間5,k0five/((POWER($A90,alfa05))-1)*(t0five/beta05),Lco瞬跳時間5)," ")</f>
        <v>0.6631999730378616</v>
      </c>
      <c r="X90">
        <f t="shared" si="47"/>
        <v>3000</v>
      </c>
      <c r="Y90">
        <f t="shared" si="48"/>
        <v>150</v>
      </c>
      <c r="AA90">
        <f t="shared" si="49"/>
        <v>1.05</v>
      </c>
      <c r="AB90">
        <f>IF(协调曲线图!$S$43="是，LCO绘图",IF((k0six/((POWER($A90,alfa06))-1)*(t0six/beta06))&gt;Lco瞬跳時間6,k0six/((POWER($A90,alfa06))-1)*(t0six/beta06),Lco瞬跳時間6)," ")</f>
        <v>0.81624612066198354</v>
      </c>
      <c r="AC90">
        <f t="shared" si="50"/>
        <v>5000</v>
      </c>
      <c r="AD90">
        <f t="shared" si="51"/>
        <v>300</v>
      </c>
    </row>
    <row r="91" spans="1:30">
      <c r="A91">
        <v>84</v>
      </c>
      <c r="B91">
        <f t="shared" si="36"/>
        <v>5.0871308825164351E-2</v>
      </c>
      <c r="C91">
        <f>IF(协调曲线图!$S$8="是，LCO绘图",IF((k0one/((POWER($A91,alfa01))-1)*(t0one/beta01))&gt;Lco瞬跳時間1,k0one/((POWER($A91,alfa01))-1)*(t0one/beta01),Lco瞬跳時間1)," ")</f>
        <v>0.2543565441258217</v>
      </c>
      <c r="D91">
        <f t="shared" si="52"/>
        <v>1050</v>
      </c>
      <c r="E91">
        <f t="shared" si="53"/>
        <v>150</v>
      </c>
      <c r="G91">
        <f t="shared" si="37"/>
        <v>0.25</v>
      </c>
      <c r="H91">
        <f>IF(协调曲线图!$S$15="是，LCO绘图",IF((k0two/((POWER($A91,alfa02))-1)*(t0two/beta02))&gt;Lco瞬跳時間2,k0two/((POWER($A91,alfa02))-1)*(t0two/beta02),Lco瞬跳時間2)," ")</f>
        <v>0.35609916177615042</v>
      </c>
      <c r="I91">
        <f t="shared" si="38"/>
        <v>1500</v>
      </c>
      <c r="J91">
        <f t="shared" si="39"/>
        <v>150</v>
      </c>
      <c r="L91">
        <f t="shared" si="40"/>
        <v>0.45</v>
      </c>
      <c r="M91">
        <f>IF(协调曲线图!$S$22="是，LCO绘图",IF((k0three/((POWER($A91,alfa03))-1)*(t0three/beta03))&gt;Lco瞬跳時間3,k0three/((POWER($A91,alfa03))-1)*(t0three/beta03),Lco瞬跳時間3)," ")</f>
        <v>0.45784177942647919</v>
      </c>
      <c r="N91">
        <f t="shared" si="41"/>
        <v>2000</v>
      </c>
      <c r="O91">
        <f t="shared" si="42"/>
        <v>150</v>
      </c>
      <c r="Q91">
        <f t="shared" si="43"/>
        <v>0.65</v>
      </c>
      <c r="R91">
        <f>IF(协调曲线图!$S$29="是，LCO绘图",IF((k0four/((POWER($A91,alfa04))-1)*(t0four/beta04))&gt;Lco瞬跳時間4,k0four/((POWER($A91,alfa04))-1)*(t0four/beta04),Lco瞬跳時間4)," ")</f>
        <v>0.55958439707680785</v>
      </c>
      <c r="S91">
        <f t="shared" si="44"/>
        <v>2500</v>
      </c>
      <c r="T91">
        <f t="shared" si="45"/>
        <v>150</v>
      </c>
      <c r="V91">
        <f t="shared" si="46"/>
        <v>0.85</v>
      </c>
      <c r="W91">
        <f>IF(协调曲线图!$S$36="是，LCO绘图",IF((k0five/((POWER($A91,alfa05))-1)*(t0five/beta05))&gt;Lco瞬跳時間5,k0five/((POWER($A91,alfa05))-1)*(t0five/beta05),Lco瞬跳時間5)," ")</f>
        <v>0.66132701472713662</v>
      </c>
      <c r="X91">
        <f t="shared" si="47"/>
        <v>3000</v>
      </c>
      <c r="Y91">
        <f t="shared" si="48"/>
        <v>150</v>
      </c>
      <c r="AA91">
        <f t="shared" si="49"/>
        <v>1.05</v>
      </c>
      <c r="AB91">
        <f>IF(协调曲线图!$S$43="是，LCO绘图",IF((k0six/((POWER($A91,alfa06))-1)*(t0six/beta06))&gt;Lco瞬跳時間6,k0six/((POWER($A91,alfa06))-1)*(t0six/beta06),Lco瞬跳時間6)," ")</f>
        <v>0.81394094120262961</v>
      </c>
      <c r="AC91">
        <f t="shared" si="50"/>
        <v>5000</v>
      </c>
      <c r="AD91">
        <f t="shared" si="51"/>
        <v>300</v>
      </c>
    </row>
    <row r="92" spans="1:30">
      <c r="A92">
        <v>85</v>
      </c>
      <c r="B92">
        <f t="shared" si="36"/>
        <v>5.0729703694453891E-2</v>
      </c>
      <c r="C92">
        <f>IF(协调曲线图!$S$8="是，LCO绘图",IF((k0one/((POWER($A92,alfa01))-1)*(t0one/beta01))&gt;Lco瞬跳時間1,k0one/((POWER($A92,alfa01))-1)*(t0one/beta01),Lco瞬跳時間1)," ")</f>
        <v>0.25364851847226944</v>
      </c>
      <c r="D92">
        <f t="shared" si="52"/>
        <v>1050</v>
      </c>
      <c r="E92">
        <f t="shared" si="53"/>
        <v>150</v>
      </c>
      <c r="G92">
        <f t="shared" si="37"/>
        <v>0.25</v>
      </c>
      <c r="H92">
        <f>IF(协调曲线图!$S$15="是，LCO绘图",IF((k0two/((POWER($A92,alfa02))-1)*(t0two/beta02))&gt;Lco瞬跳時間2,k0two/((POWER($A92,alfa02))-1)*(t0two/beta02),Lco瞬跳時間2)," ")</f>
        <v>0.35510792586117723</v>
      </c>
      <c r="I92">
        <f t="shared" si="38"/>
        <v>1500</v>
      </c>
      <c r="J92">
        <f t="shared" si="39"/>
        <v>150</v>
      </c>
      <c r="L92">
        <f t="shared" si="40"/>
        <v>0.45</v>
      </c>
      <c r="M92">
        <f>IF(协调曲线图!$S$22="是，LCO绘图",IF((k0three/((POWER($A92,alfa03))-1)*(t0three/beta03))&gt;Lco瞬跳時間3,k0three/((POWER($A92,alfa03))-1)*(t0three/beta03),Lco瞬跳時間3)," ")</f>
        <v>0.45656733325008503</v>
      </c>
      <c r="N92">
        <f t="shared" si="41"/>
        <v>2000</v>
      </c>
      <c r="O92">
        <f t="shared" si="42"/>
        <v>150</v>
      </c>
      <c r="Q92">
        <f t="shared" si="43"/>
        <v>0.65</v>
      </c>
      <c r="R92">
        <f>IF(协调曲线图!$S$29="是，LCO绘图",IF((k0four/((POWER($A92,alfa04))-1)*(t0four/beta04))&gt;Lco瞬跳時間4,k0four/((POWER($A92,alfa04))-1)*(t0four/beta04),Lco瞬跳時間4)," ")</f>
        <v>0.55802674063899271</v>
      </c>
      <c r="S92">
        <f t="shared" si="44"/>
        <v>2500</v>
      </c>
      <c r="T92">
        <f t="shared" si="45"/>
        <v>150</v>
      </c>
      <c r="V92">
        <f t="shared" si="46"/>
        <v>0.85</v>
      </c>
      <c r="W92">
        <f>IF(协调曲线图!$S$36="是，LCO绘图",IF((k0five/((POWER($A92,alfa05))-1)*(t0five/beta05))&gt;Lco瞬跳時間5,k0five/((POWER($A92,alfa05))-1)*(t0five/beta05),Lco瞬跳時間5)," ")</f>
        <v>0.65948614802790062</v>
      </c>
      <c r="X92">
        <f t="shared" si="47"/>
        <v>3000</v>
      </c>
      <c r="Y92">
        <f t="shared" si="48"/>
        <v>150</v>
      </c>
      <c r="AA92">
        <f t="shared" si="49"/>
        <v>1.05</v>
      </c>
      <c r="AB92">
        <f>IF(协调曲线图!$S$43="是，LCO绘图",IF((k0six/((POWER($A92,alfa06))-1)*(t0six/beta06))&gt;Lco瞬跳時間6,k0six/((POWER($A92,alfa06))-1)*(t0six/beta06),Lco瞬跳時間6)," ")</f>
        <v>0.81167525911126226</v>
      </c>
      <c r="AC92">
        <f t="shared" si="50"/>
        <v>5000</v>
      </c>
      <c r="AD92">
        <f t="shared" si="51"/>
        <v>300</v>
      </c>
    </row>
    <row r="93" spans="1:30">
      <c r="A93">
        <v>86</v>
      </c>
      <c r="B93">
        <f t="shared" si="36"/>
        <v>5.0590494579948131E-2</v>
      </c>
      <c r="C93">
        <f>IF(协调曲线图!$S$8="是，LCO绘图",IF((k0one/((POWER($A93,alfa01))-1)*(t0one/beta01))&gt;Lco瞬跳時間1,k0one/((POWER($A93,alfa01))-1)*(t0one/beta01),Lco瞬跳時間1)," ")</f>
        <v>0.25295247289974065</v>
      </c>
      <c r="D93">
        <f t="shared" si="52"/>
        <v>1050</v>
      </c>
      <c r="E93">
        <f t="shared" si="53"/>
        <v>150</v>
      </c>
      <c r="G93">
        <f t="shared" si="37"/>
        <v>0.25</v>
      </c>
      <c r="H93">
        <f>IF(协调曲线图!$S$15="是，LCO绘图",IF((k0two/((POWER($A93,alfa02))-1)*(t0two/beta02))&gt;Lco瞬跳時間2,k0two/((POWER($A93,alfa02))-1)*(t0two/beta02),Lco瞬跳時間2)," ")</f>
        <v>0.35413346205963692</v>
      </c>
      <c r="I93">
        <f t="shared" si="38"/>
        <v>1500</v>
      </c>
      <c r="J93">
        <f t="shared" si="39"/>
        <v>150</v>
      </c>
      <c r="L93">
        <f t="shared" si="40"/>
        <v>0.45</v>
      </c>
      <c r="M93">
        <f>IF(协调曲线图!$S$22="是，LCO绘图",IF((k0three/((POWER($A93,alfa03))-1)*(t0three/beta03))&gt;Lco瞬跳時間3,k0three/((POWER($A93,alfa03))-1)*(t0three/beta03),Lco瞬跳時間3)," ")</f>
        <v>0.45531445121953318</v>
      </c>
      <c r="N93">
        <f t="shared" si="41"/>
        <v>2000</v>
      </c>
      <c r="O93">
        <f t="shared" si="42"/>
        <v>150</v>
      </c>
      <c r="Q93">
        <f t="shared" si="43"/>
        <v>0.65</v>
      </c>
      <c r="R93">
        <f>IF(协调曲线图!$S$29="是，LCO绘图",IF((k0four/((POWER($A93,alfa04))-1)*(t0four/beta04))&gt;Lco瞬跳時間4,k0four/((POWER($A93,alfa04))-1)*(t0four/beta04),Lco瞬跳時間4)," ")</f>
        <v>0.55649544037942944</v>
      </c>
      <c r="S93">
        <f t="shared" si="44"/>
        <v>2500</v>
      </c>
      <c r="T93">
        <f t="shared" si="45"/>
        <v>150</v>
      </c>
      <c r="V93">
        <f t="shared" si="46"/>
        <v>0.85</v>
      </c>
      <c r="W93">
        <f>IF(协调曲线图!$S$36="是，LCO绘图",IF((k0five/((POWER($A93,alfa05))-1)*(t0five/beta05))&gt;Lco瞬跳時間5,k0five/((POWER($A93,alfa05))-1)*(t0five/beta05),Lco瞬跳時間5)," ")</f>
        <v>0.6576764295393257</v>
      </c>
      <c r="X93">
        <f t="shared" si="47"/>
        <v>3000</v>
      </c>
      <c r="Y93">
        <f t="shared" si="48"/>
        <v>150</v>
      </c>
      <c r="AA93">
        <f t="shared" si="49"/>
        <v>1.05</v>
      </c>
      <c r="AB93">
        <f>IF(协调曲线图!$S$43="是，LCO绘图",IF((k0six/((POWER($A93,alfa06))-1)*(t0six/beta06))&gt;Lco瞬跳時間6,k0six/((POWER($A93,alfa06))-1)*(t0six/beta06),Lco瞬跳時間6)," ")</f>
        <v>0.80944791327917009</v>
      </c>
      <c r="AC93">
        <f t="shared" si="50"/>
        <v>5000</v>
      </c>
      <c r="AD93">
        <f t="shared" si="51"/>
        <v>300</v>
      </c>
    </row>
    <row r="94" spans="1:30">
      <c r="A94">
        <v>87</v>
      </c>
      <c r="B94">
        <f t="shared" si="36"/>
        <v>5.0453611898497577E-2</v>
      </c>
      <c r="C94">
        <f>IF(协调曲线图!$S$8="是，LCO绘图",IF((k0one/((POWER($A94,alfa01))-1)*(t0one/beta01))&gt;Lco瞬跳時間1,k0one/((POWER($A94,alfa01))-1)*(t0one/beta01),Lco瞬跳時間1)," ")</f>
        <v>0.25226805949248787</v>
      </c>
      <c r="D94">
        <f t="shared" si="52"/>
        <v>1050</v>
      </c>
      <c r="E94">
        <f t="shared" si="53"/>
        <v>150</v>
      </c>
      <c r="G94">
        <f t="shared" si="37"/>
        <v>0.25</v>
      </c>
      <c r="H94">
        <f>IF(协调曲线图!$S$15="是，LCO绘图",IF((k0two/((POWER($A94,alfa02))-1)*(t0two/beta02))&gt;Lco瞬跳時間2,k0two/((POWER($A94,alfa02))-1)*(t0two/beta02),Lco瞬跳時間2)," ")</f>
        <v>0.35317528328948306</v>
      </c>
      <c r="I94">
        <f t="shared" si="38"/>
        <v>1500</v>
      </c>
      <c r="J94">
        <f t="shared" si="39"/>
        <v>150</v>
      </c>
      <c r="L94">
        <f t="shared" si="40"/>
        <v>0.45</v>
      </c>
      <c r="M94">
        <f>IF(协调曲线图!$S$22="是，LCO绘图",IF((k0three/((POWER($A94,alfa03))-1)*(t0three/beta03))&gt;Lco瞬跳時間3,k0three/((POWER($A94,alfa03))-1)*(t0three/beta03),Lco瞬跳時間3)," ")</f>
        <v>0.45408250708647824</v>
      </c>
      <c r="N94">
        <f t="shared" si="41"/>
        <v>2000</v>
      </c>
      <c r="O94">
        <f t="shared" si="42"/>
        <v>150</v>
      </c>
      <c r="Q94">
        <f t="shared" si="43"/>
        <v>0.65</v>
      </c>
      <c r="R94">
        <f>IF(协调曲线图!$S$29="是，LCO绘图",IF((k0four/((POWER($A94,alfa04))-1)*(t0four/beta04))&gt;Lco瞬跳時間4,k0four/((POWER($A94,alfa04))-1)*(t0four/beta04),Lco瞬跳時間4)," ")</f>
        <v>0.55498973088347336</v>
      </c>
      <c r="S94">
        <f t="shared" si="44"/>
        <v>2500</v>
      </c>
      <c r="T94">
        <f t="shared" si="45"/>
        <v>150</v>
      </c>
      <c r="V94">
        <f t="shared" si="46"/>
        <v>0.85</v>
      </c>
      <c r="W94">
        <f>IF(协调曲线图!$S$36="是，LCO绘图",IF((k0five/((POWER($A94,alfa05))-1)*(t0five/beta05))&gt;Lco瞬跳時間5,k0five/((POWER($A94,alfa05))-1)*(t0five/beta05),Lco瞬跳時間5)," ")</f>
        <v>0.6558969546804686</v>
      </c>
      <c r="X94">
        <f t="shared" si="47"/>
        <v>3000</v>
      </c>
      <c r="Y94">
        <f t="shared" si="48"/>
        <v>150</v>
      </c>
      <c r="AA94">
        <f t="shared" si="49"/>
        <v>1.05</v>
      </c>
      <c r="AB94">
        <f>IF(协调曲线图!$S$43="是，LCO绘图",IF((k0six/((POWER($A94,alfa06))-1)*(t0six/beta06))&gt;Lco瞬跳時間6,k0six/((POWER($A94,alfa06))-1)*(t0six/beta06),Lco瞬跳時間6)," ")</f>
        <v>0.80725779037596124</v>
      </c>
      <c r="AC94">
        <f t="shared" si="50"/>
        <v>5000</v>
      </c>
      <c r="AD94">
        <f t="shared" si="51"/>
        <v>300</v>
      </c>
    </row>
    <row r="95" spans="1:30">
      <c r="A95">
        <v>88</v>
      </c>
      <c r="B95">
        <f t="shared" si="36"/>
        <v>5.0318988896249479E-2</v>
      </c>
      <c r="C95">
        <f>IF(协调曲线图!$S$8="是，LCO绘图",IF((k0one/((POWER($A95,alfa01))-1)*(t0one/beta01))&gt;Lco瞬跳時間1,k0one/((POWER($A95,alfa01))-1)*(t0one/beta01),Lco瞬跳時間1)," ")</f>
        <v>0.25159494448124736</v>
      </c>
      <c r="D95">
        <f t="shared" si="52"/>
        <v>1050</v>
      </c>
      <c r="E95">
        <f t="shared" si="53"/>
        <v>150</v>
      </c>
      <c r="G95">
        <f t="shared" si="37"/>
        <v>0.25</v>
      </c>
      <c r="H95">
        <f>IF(协调曲线图!$S$15="是，LCO绘图",IF((k0two/((POWER($A95,alfa02))-1)*(t0two/beta02))&gt;Lco瞬跳時間2,k0two/((POWER($A95,alfa02))-1)*(t0two/beta02),Lco瞬跳時間2)," ")</f>
        <v>0.35223292227374636</v>
      </c>
      <c r="I95">
        <f t="shared" si="38"/>
        <v>1500</v>
      </c>
      <c r="J95">
        <f t="shared" si="39"/>
        <v>150</v>
      </c>
      <c r="L95">
        <f t="shared" si="40"/>
        <v>0.45</v>
      </c>
      <c r="M95">
        <f>IF(协调曲线图!$S$22="是，LCO绘图",IF((k0three/((POWER($A95,alfa03))-1)*(t0three/beta03))&gt;Lco瞬跳時間3,k0three/((POWER($A95,alfa03))-1)*(t0three/beta03),Lco瞬跳時間3)," ")</f>
        <v>0.45287090006624536</v>
      </c>
      <c r="N95">
        <f t="shared" si="41"/>
        <v>2000</v>
      </c>
      <c r="O95">
        <f t="shared" si="42"/>
        <v>150</v>
      </c>
      <c r="Q95">
        <f t="shared" si="43"/>
        <v>0.65</v>
      </c>
      <c r="R95">
        <f>IF(协调曲线图!$S$29="是，LCO绘图",IF((k0four/((POWER($A95,alfa04))-1)*(t0four/beta04))&gt;Lco瞬跳時間4,k0four/((POWER($A95,alfa04))-1)*(t0four/beta04),Lco瞬跳時間4)," ")</f>
        <v>0.55350887785874425</v>
      </c>
      <c r="S95">
        <f t="shared" si="44"/>
        <v>2500</v>
      </c>
      <c r="T95">
        <f t="shared" si="45"/>
        <v>150</v>
      </c>
      <c r="V95">
        <f t="shared" si="46"/>
        <v>0.85</v>
      </c>
      <c r="W95">
        <f>IF(协调曲线图!$S$36="是，LCO绘图",IF((k0five/((POWER($A95,alfa05))-1)*(t0five/beta05))&gt;Lco瞬跳時間5,k0five/((POWER($A95,alfa05))-1)*(t0five/beta05),Lco瞬跳時間5)," ")</f>
        <v>0.65414685565124331</v>
      </c>
      <c r="X95">
        <f t="shared" si="47"/>
        <v>3000</v>
      </c>
      <c r="Y95">
        <f t="shared" si="48"/>
        <v>150</v>
      </c>
      <c r="AA95">
        <f t="shared" si="49"/>
        <v>1.05</v>
      </c>
      <c r="AB95">
        <f>IF(协调曲线图!$S$43="是，LCO绘图",IF((k0six/((POWER($A95,alfa06))-1)*(t0six/beta06))&gt;Lco瞬跳時間6,k0six/((POWER($A95,alfa06))-1)*(t0six/beta06),Lco瞬跳時間6)," ")</f>
        <v>0.80510382233999167</v>
      </c>
      <c r="AC95">
        <f t="shared" si="50"/>
        <v>5000</v>
      </c>
      <c r="AD95">
        <f t="shared" si="51"/>
        <v>300</v>
      </c>
    </row>
    <row r="96" spans="1:30">
      <c r="A96">
        <v>89</v>
      </c>
      <c r="B96">
        <f t="shared" si="36"/>
        <v>5.0186561501771865E-2</v>
      </c>
      <c r="C96">
        <f>IF(协调曲线图!$S$8="是，LCO绘图",IF((k0one/((POWER($A96,alfa01))-1)*(t0one/beta01))&gt;Lco瞬跳時間1,k0one/((POWER($A96,alfa01))-1)*(t0one/beta01),Lco瞬跳時間1)," ")</f>
        <v>0.25093280750885932</v>
      </c>
      <c r="D96">
        <f t="shared" si="52"/>
        <v>1050</v>
      </c>
      <c r="E96">
        <f t="shared" si="53"/>
        <v>150</v>
      </c>
      <c r="G96">
        <f t="shared" si="37"/>
        <v>0.25</v>
      </c>
      <c r="H96">
        <f>IF(协调曲线图!$S$15="是，LCO绘图",IF((k0two/((POWER($A96,alfa02))-1)*(t0two/beta02))&gt;Lco瞬跳時間2,k0two/((POWER($A96,alfa02))-1)*(t0two/beta02),Lco瞬跳時間2)," ")</f>
        <v>0.35130593051240305</v>
      </c>
      <c r="I96">
        <f t="shared" si="38"/>
        <v>1500</v>
      </c>
      <c r="J96">
        <f t="shared" si="39"/>
        <v>150</v>
      </c>
      <c r="L96">
        <f t="shared" si="40"/>
        <v>0.45</v>
      </c>
      <c r="M96">
        <f>IF(协调曲线图!$S$22="是，LCO绘图",IF((k0three/((POWER($A96,alfa03))-1)*(t0three/beta03))&gt;Lco瞬跳時間3,k0three/((POWER($A96,alfa03))-1)*(t0three/beta03),Lco瞬跳時間3)," ")</f>
        <v>0.45167905351594684</v>
      </c>
      <c r="N96">
        <f t="shared" si="41"/>
        <v>2000</v>
      </c>
      <c r="O96">
        <f t="shared" si="42"/>
        <v>150</v>
      </c>
      <c r="Q96">
        <f t="shared" si="43"/>
        <v>0.65</v>
      </c>
      <c r="R96">
        <f>IF(协调曲线图!$S$29="是，LCO绘图",IF((k0four/((POWER($A96,alfa04))-1)*(t0four/beta04))&gt;Lco瞬跳時間4,k0four/((POWER($A96,alfa04))-1)*(t0four/beta04),Lco瞬跳時間4)," ")</f>
        <v>0.55205217651949057</v>
      </c>
      <c r="S96">
        <f t="shared" si="44"/>
        <v>2500</v>
      </c>
      <c r="T96">
        <f t="shared" si="45"/>
        <v>150</v>
      </c>
      <c r="V96">
        <f t="shared" si="46"/>
        <v>0.85</v>
      </c>
      <c r="W96">
        <f>IF(协调曲线图!$S$36="是，LCO绘图",IF((k0five/((POWER($A96,alfa05))-1)*(t0five/beta05))&gt;Lco瞬跳時間5,k0five/((POWER($A96,alfa05))-1)*(t0five/beta05),Lco瞬跳時間5)," ")</f>
        <v>0.6524252995230343</v>
      </c>
      <c r="X96">
        <f t="shared" si="47"/>
        <v>3000</v>
      </c>
      <c r="Y96">
        <f t="shared" si="48"/>
        <v>150</v>
      </c>
      <c r="AA96">
        <f t="shared" si="49"/>
        <v>1.05</v>
      </c>
      <c r="AB96">
        <f>IF(协调曲线图!$S$43="是，LCO绘图",IF((k0six/((POWER($A96,alfa06))-1)*(t0six/beta06))&gt;Lco瞬跳時間6,k0six/((POWER($A96,alfa06))-1)*(t0six/beta06),Lco瞬跳時間6)," ")</f>
        <v>0.80298498402834984</v>
      </c>
      <c r="AC96">
        <f t="shared" si="50"/>
        <v>5000</v>
      </c>
      <c r="AD96">
        <f t="shared" si="51"/>
        <v>300</v>
      </c>
    </row>
    <row r="97" spans="1:30">
      <c r="A97">
        <v>90</v>
      </c>
      <c r="B97">
        <f t="shared" si="36"/>
        <v>5.005626818840838E-2</v>
      </c>
      <c r="C97">
        <f>IF(协调曲线图!$S$8="是，LCO绘图",IF((k0one/((POWER($A97,alfa01))-1)*(t0one/beta01))&gt;Lco瞬跳時間1,k0one/((POWER($A97,alfa01))-1)*(t0one/beta01),Lco瞬跳時間1)," ")</f>
        <v>0.25028134094204191</v>
      </c>
      <c r="D97">
        <f t="shared" si="52"/>
        <v>1050</v>
      </c>
      <c r="E97">
        <f t="shared" si="53"/>
        <v>150</v>
      </c>
      <c r="G97">
        <f t="shared" si="37"/>
        <v>0.25</v>
      </c>
      <c r="H97">
        <f>IF(协调曲线图!$S$15="是，LCO绘图",IF((k0two/((POWER($A97,alfa02))-1)*(t0two/beta02))&gt;Lco瞬跳時間2,k0two/((POWER($A97,alfa02))-1)*(t0two/beta02),Lco瞬跳時間2)," ")</f>
        <v>0.35039387731885863</v>
      </c>
      <c r="I97">
        <f t="shared" si="38"/>
        <v>1500</v>
      </c>
      <c r="J97">
        <f t="shared" si="39"/>
        <v>150</v>
      </c>
      <c r="L97">
        <f t="shared" si="40"/>
        <v>0.45</v>
      </c>
      <c r="M97">
        <f>IF(协调曲线图!$S$22="是，LCO绘图",IF((k0three/((POWER($A97,alfa03))-1)*(t0three/beta03))&gt;Lco瞬跳時間3,k0three/((POWER($A97,alfa03))-1)*(t0three/beta03),Lco瞬跳時間3)," ")</f>
        <v>0.45050641369567546</v>
      </c>
      <c r="N97">
        <f t="shared" si="41"/>
        <v>2000</v>
      </c>
      <c r="O97">
        <f t="shared" si="42"/>
        <v>150</v>
      </c>
      <c r="Q97">
        <f t="shared" si="43"/>
        <v>0.65</v>
      </c>
      <c r="R97">
        <f>IF(协调曲线图!$S$29="是，LCO绘图",IF((k0four/((POWER($A97,alfa04))-1)*(t0four/beta04))&gt;Lco瞬跳時間4,k0four/((POWER($A97,alfa04))-1)*(t0four/beta04),Lco瞬跳時間4)," ")</f>
        <v>0.55061895007249217</v>
      </c>
      <c r="S97">
        <f t="shared" si="44"/>
        <v>2500</v>
      </c>
      <c r="T97">
        <f t="shared" si="45"/>
        <v>150</v>
      </c>
      <c r="V97">
        <f t="shared" si="46"/>
        <v>0.85</v>
      </c>
      <c r="W97">
        <f>IF(协调曲线图!$S$36="是，LCO绘图",IF((k0five/((POWER($A97,alfa05))-1)*(t0five/beta05))&gt;Lco瞬跳時間5,k0five/((POWER($A97,alfa05))-1)*(t0five/beta05),Lco瞬跳時間5)," ")</f>
        <v>0.650731486449309</v>
      </c>
      <c r="X97">
        <f t="shared" si="47"/>
        <v>3000</v>
      </c>
      <c r="Y97">
        <f t="shared" si="48"/>
        <v>150</v>
      </c>
      <c r="AA97">
        <f t="shared" si="49"/>
        <v>1.05</v>
      </c>
      <c r="AB97">
        <f>IF(协调曲线图!$S$43="是，LCO绘图",IF((k0six/((POWER($A97,alfa06))-1)*(t0six/beta06))&gt;Lco瞬跳時間6,k0six/((POWER($A97,alfa06))-1)*(t0six/beta06),Lco瞬跳時間6)," ")</f>
        <v>0.80090029101453408</v>
      </c>
      <c r="AC97">
        <f t="shared" si="50"/>
        <v>5000</v>
      </c>
      <c r="AD97">
        <f t="shared" si="51"/>
        <v>300</v>
      </c>
    </row>
    <row r="98" spans="1:30">
      <c r="A98">
        <v>91</v>
      </c>
      <c r="B98">
        <f t="shared" si="36"/>
        <v>0.05</v>
      </c>
      <c r="C98">
        <f>IF(协调曲线图!$S$8="是，LCO绘图",IF((k0one/((POWER($A98,alfa01))-1)*(t0one/beta01))&gt;Lco瞬跳時間1,k0one/((POWER($A98,alfa01))-1)*(t0one/beta01),Lco瞬跳時間1)," ")</f>
        <v>0.24964024922593103</v>
      </c>
      <c r="D98">
        <f t="shared" si="52"/>
        <v>1050</v>
      </c>
      <c r="E98">
        <f t="shared" si="53"/>
        <v>150</v>
      </c>
      <c r="G98">
        <f t="shared" si="37"/>
        <v>0.25</v>
      </c>
      <c r="H98">
        <f>IF(协调曲线图!$S$15="是，LCO绘图",IF((k0two/((POWER($A98,alfa02))-1)*(t0two/beta02))&gt;Lco瞬跳時間2,k0two/((POWER($A98,alfa02))-1)*(t0two/beta02),Lco瞬跳時間2)," ")</f>
        <v>0.34949634891630343</v>
      </c>
      <c r="I98">
        <f t="shared" si="38"/>
        <v>1500</v>
      </c>
      <c r="J98">
        <f t="shared" si="39"/>
        <v>150</v>
      </c>
      <c r="L98">
        <f t="shared" si="40"/>
        <v>0.45</v>
      </c>
      <c r="M98">
        <f>IF(协调曲线图!$S$22="是，LCO绘图",IF((k0three/((POWER($A98,alfa03))-1)*(t0three/beta03))&gt;Lco瞬跳時間3,k0three/((POWER($A98,alfa03))-1)*(t0three/beta03),Lco瞬跳時間3)," ")</f>
        <v>0.44935244860667589</v>
      </c>
      <c r="N98">
        <f t="shared" si="41"/>
        <v>2000</v>
      </c>
      <c r="O98">
        <f t="shared" si="42"/>
        <v>150</v>
      </c>
      <c r="Q98">
        <f t="shared" si="43"/>
        <v>0.65</v>
      </c>
      <c r="R98">
        <f>IF(协调曲线图!$S$29="是，LCO绘图",IF((k0four/((POWER($A98,alfa04))-1)*(t0four/beta04))&gt;Lco瞬跳時間4,k0four/((POWER($A98,alfa04))-1)*(t0four/beta04),Lco瞬跳時間4)," ")</f>
        <v>0.54920854829704824</v>
      </c>
      <c r="S98">
        <f t="shared" si="44"/>
        <v>2500</v>
      </c>
      <c r="T98">
        <f t="shared" si="45"/>
        <v>150</v>
      </c>
      <c r="V98">
        <f t="shared" si="46"/>
        <v>0.85</v>
      </c>
      <c r="W98">
        <f>IF(协调曲线图!$S$36="是，LCO绘图",IF((k0five/((POWER($A98,alfa05))-1)*(t0five/beta05))&gt;Lco瞬跳時間5,k0five/((POWER($A98,alfa05))-1)*(t0five/beta05),Lco瞬跳時間5)," ")</f>
        <v>0.6490646479874207</v>
      </c>
      <c r="X98">
        <f t="shared" si="47"/>
        <v>3000</v>
      </c>
      <c r="Y98">
        <f t="shared" si="48"/>
        <v>150</v>
      </c>
      <c r="AA98">
        <f t="shared" si="49"/>
        <v>1.05</v>
      </c>
      <c r="AB98">
        <f>IF(协调曲线图!$S$43="是，LCO绘图",IF((k0six/((POWER($A98,alfa06))-1)*(t0six/beta06))&gt;Lco瞬跳時間6,k0six/((POWER($A98,alfa06))-1)*(t0six/beta06),Lco瞬跳時間6)," ")</f>
        <v>0.79884879752297933</v>
      </c>
      <c r="AC98">
        <f t="shared" si="50"/>
        <v>5000</v>
      </c>
      <c r="AD98">
        <f t="shared" si="51"/>
        <v>300</v>
      </c>
    </row>
    <row r="99" spans="1:30">
      <c r="A99">
        <v>92</v>
      </c>
      <c r="B99">
        <f t="shared" si="36"/>
        <v>0.05</v>
      </c>
      <c r="C99">
        <f>IF(协调曲线图!$S$8="是，LCO绘图",IF((k0one/((POWER($A99,alfa01))-1)*(t0one/beta01))&gt;Lco瞬跳時間1,k0one/((POWER($A99,alfa01))-1)*(t0one/beta01),Lco瞬跳時間1)," ")</f>
        <v>0.24900924827827572</v>
      </c>
      <c r="D99">
        <f t="shared" si="52"/>
        <v>1050</v>
      </c>
      <c r="E99">
        <f t="shared" si="53"/>
        <v>150</v>
      </c>
      <c r="G99">
        <f t="shared" si="37"/>
        <v>0.25</v>
      </c>
      <c r="H99">
        <f>IF(协调曲线图!$S$15="是，LCO绘图",IF((k0two/((POWER($A99,alfa02))-1)*(t0two/beta02))&gt;Lco瞬跳時間2,k0two/((POWER($A99,alfa02))-1)*(t0two/beta02),Lco瞬跳時間2)," ")</f>
        <v>0.34861294758958605</v>
      </c>
      <c r="I99">
        <f t="shared" si="38"/>
        <v>1500</v>
      </c>
      <c r="J99">
        <f t="shared" si="39"/>
        <v>150</v>
      </c>
      <c r="L99">
        <f t="shared" si="40"/>
        <v>0.45</v>
      </c>
      <c r="M99">
        <f>IF(协调曲线图!$S$22="是，LCO绘图",IF((k0three/((POWER($A99,alfa03))-1)*(t0three/beta03))&gt;Lco瞬跳時間3,k0three/((POWER($A99,alfa03))-1)*(t0three/beta03),Lco瞬跳時間3)," ")</f>
        <v>0.44821664690089635</v>
      </c>
      <c r="N99">
        <f t="shared" si="41"/>
        <v>2000</v>
      </c>
      <c r="O99">
        <f t="shared" si="42"/>
        <v>150</v>
      </c>
      <c r="Q99">
        <f t="shared" si="43"/>
        <v>0.65</v>
      </c>
      <c r="R99">
        <f>IF(协调曲线图!$S$29="是，LCO绘图",IF((k0four/((POWER($A99,alfa04))-1)*(t0four/beta04))&gt;Lco瞬跳時間4,k0four/((POWER($A99,alfa04))-1)*(t0four/beta04),Lco瞬跳時間4)," ")</f>
        <v>0.54782034621220665</v>
      </c>
      <c r="S99">
        <f t="shared" si="44"/>
        <v>2500</v>
      </c>
      <c r="T99">
        <f t="shared" si="45"/>
        <v>150</v>
      </c>
      <c r="V99">
        <f t="shared" si="46"/>
        <v>0.85</v>
      </c>
      <c r="W99">
        <f>IF(协调曲线图!$S$36="是，LCO绘图",IF((k0five/((POWER($A99,alfa05))-1)*(t0five/beta05))&gt;Lco瞬跳時間5,k0five/((POWER($A99,alfa05))-1)*(t0five/beta05),Lco瞬跳時間5)," ")</f>
        <v>0.64742404552351696</v>
      </c>
      <c r="X99">
        <f t="shared" si="47"/>
        <v>3000</v>
      </c>
      <c r="Y99">
        <f t="shared" si="48"/>
        <v>150</v>
      </c>
      <c r="AA99">
        <f t="shared" si="49"/>
        <v>1.05</v>
      </c>
      <c r="AB99">
        <f>IF(协调曲线图!$S$43="是，LCO绘图",IF((k0six/((POWER($A99,alfa06))-1)*(t0six/beta06))&gt;Lco瞬跳時間6,k0six/((POWER($A99,alfa06))-1)*(t0six/beta06),Lco瞬跳時間6)," ")</f>
        <v>0.79682959449048241</v>
      </c>
      <c r="AC99">
        <f t="shared" si="50"/>
        <v>5000</v>
      </c>
      <c r="AD99">
        <f t="shared" si="51"/>
        <v>300</v>
      </c>
    </row>
    <row r="100" spans="1:30">
      <c r="A100">
        <v>93</v>
      </c>
      <c r="B100">
        <f t="shared" si="36"/>
        <v>0.05</v>
      </c>
      <c r="C100">
        <f>IF(协调曲线图!$S$8="是，LCO绘图",IF((k0one/((POWER($A100,alfa01))-1)*(t0one/beta01))&gt;Lco瞬跳時間1,k0one/((POWER($A100,alfa01))-1)*(t0one/beta01),Lco瞬跳時間1)," ")</f>
        <v>0.24838806492043319</v>
      </c>
      <c r="D100">
        <f t="shared" si="52"/>
        <v>1050</v>
      </c>
      <c r="E100">
        <f t="shared" si="53"/>
        <v>150</v>
      </c>
      <c r="G100">
        <f t="shared" si="37"/>
        <v>0.25</v>
      </c>
      <c r="H100">
        <f>IF(协调曲线图!$S$15="是，LCO绘图",IF((k0two/((POWER($A100,alfa02))-1)*(t0two/beta02))&gt;Lco瞬跳時間2,k0two/((POWER($A100,alfa02))-1)*(t0two/beta02),Lco瞬跳時間2)," ")</f>
        <v>0.34774329088860645</v>
      </c>
      <c r="I100">
        <f t="shared" si="38"/>
        <v>1500</v>
      </c>
      <c r="J100">
        <f t="shared" si="39"/>
        <v>150</v>
      </c>
      <c r="L100">
        <f t="shared" si="40"/>
        <v>0.45</v>
      </c>
      <c r="M100">
        <f>IF(协调曲线图!$S$22="是，LCO绘图",IF((k0three/((POWER($A100,alfa03))-1)*(t0three/beta03))&gt;Lco瞬跳時間3,k0three/((POWER($A100,alfa03))-1)*(t0three/beta03),Lco瞬跳時間3)," ")</f>
        <v>0.44709851685677982</v>
      </c>
      <c r="N100">
        <f t="shared" si="41"/>
        <v>2000</v>
      </c>
      <c r="O100">
        <f t="shared" si="42"/>
        <v>150</v>
      </c>
      <c r="Q100">
        <f t="shared" si="43"/>
        <v>0.65</v>
      </c>
      <c r="R100">
        <f>IF(协调曲线图!$S$29="是，LCO绘图",IF((k0four/((POWER($A100,alfa04))-1)*(t0four/beta04))&gt;Lco瞬跳時間4,k0four/((POWER($A100,alfa04))-1)*(t0four/beta04),Lco瞬跳時間4)," ")</f>
        <v>0.54645374282495307</v>
      </c>
      <c r="S100">
        <f t="shared" si="44"/>
        <v>2500</v>
      </c>
      <c r="T100">
        <f t="shared" si="45"/>
        <v>150</v>
      </c>
      <c r="V100">
        <f t="shared" si="46"/>
        <v>0.85</v>
      </c>
      <c r="W100">
        <f>IF(协调曲线图!$S$36="是，LCO绘图",IF((k0five/((POWER($A100,alfa05))-1)*(t0five/beta05))&gt;Lco瞬跳時間5,k0five/((POWER($A100,alfa05))-1)*(t0five/beta05),Lco瞬跳時間5)," ")</f>
        <v>0.64580896879312633</v>
      </c>
      <c r="X100">
        <f t="shared" si="47"/>
        <v>3000</v>
      </c>
      <c r="Y100">
        <f t="shared" si="48"/>
        <v>150</v>
      </c>
      <c r="AA100">
        <f t="shared" si="49"/>
        <v>1.05</v>
      </c>
      <c r="AB100">
        <f>IF(协调曲线图!$S$43="是，LCO绘图",IF((k0six/((POWER($A100,alfa06))-1)*(t0six/beta06))&gt;Lco瞬跳時間6,k0six/((POWER($A100,alfa06))-1)*(t0six/beta06),Lco瞬跳時間6)," ")</f>
        <v>0.79484180774538626</v>
      </c>
      <c r="AC100">
        <f t="shared" si="50"/>
        <v>5000</v>
      </c>
      <c r="AD100">
        <f t="shared" si="51"/>
        <v>300</v>
      </c>
    </row>
    <row r="101" spans="1:30">
      <c r="A101">
        <v>94</v>
      </c>
      <c r="B101">
        <f t="shared" si="36"/>
        <v>0.05</v>
      </c>
      <c r="C101">
        <f>IF(协调曲线图!$S$8="是，LCO绘图",IF((k0one/((POWER($A101,alfa01))-1)*(t0one/beta01))&gt;Lco瞬跳時間1,k0one/((POWER($A101,alfa01))-1)*(t0one/beta01),Lco瞬跳時間1)," ")</f>
        <v>0.2477764363425593</v>
      </c>
      <c r="D101">
        <f t="shared" si="52"/>
        <v>1050</v>
      </c>
      <c r="E101">
        <f t="shared" si="53"/>
        <v>150</v>
      </c>
      <c r="G101">
        <f t="shared" si="37"/>
        <v>0.25</v>
      </c>
      <c r="H101">
        <f>IF(协调曲线图!$S$15="是，LCO绘图",IF((k0two/((POWER($A101,alfa02))-1)*(t0two/beta02))&gt;Lco瞬跳時間2,k0two/((POWER($A101,alfa02))-1)*(t0two/beta02),Lco瞬跳時間2)," ")</f>
        <v>0.34688701087958301</v>
      </c>
      <c r="I101">
        <f t="shared" si="38"/>
        <v>1500</v>
      </c>
      <c r="J101">
        <f t="shared" si="39"/>
        <v>150</v>
      </c>
      <c r="L101">
        <f t="shared" si="40"/>
        <v>0.45</v>
      </c>
      <c r="M101">
        <f>IF(协调曲线图!$S$22="是，LCO绘图",IF((k0three/((POWER($A101,alfa03))-1)*(t0three/beta03))&gt;Lco瞬跳時間3,k0three/((POWER($A101,alfa03))-1)*(t0three/beta03),Lco瞬跳時間3)," ")</f>
        <v>0.44599758541660678</v>
      </c>
      <c r="N101">
        <f t="shared" si="41"/>
        <v>2000</v>
      </c>
      <c r="O101">
        <f t="shared" si="42"/>
        <v>150</v>
      </c>
      <c r="Q101">
        <f t="shared" si="43"/>
        <v>0.65</v>
      </c>
      <c r="R101">
        <f>IF(协调曲线图!$S$29="是，LCO绘图",IF((k0four/((POWER($A101,alfa04))-1)*(t0four/beta04))&gt;Lco瞬跳時間4,k0four/((POWER($A101,alfa04))-1)*(t0four/beta04),Lco瞬跳時間4)," ")</f>
        <v>0.54510815995363049</v>
      </c>
      <c r="S101">
        <f t="shared" si="44"/>
        <v>2500</v>
      </c>
      <c r="T101">
        <f t="shared" si="45"/>
        <v>150</v>
      </c>
      <c r="V101">
        <f t="shared" si="46"/>
        <v>0.85</v>
      </c>
      <c r="W101">
        <f>IF(协调曲线图!$S$36="是，LCO绘图",IF((k0five/((POWER($A101,alfa05))-1)*(t0five/beta05))&gt;Lco瞬跳時間5,k0five/((POWER($A101,alfa05))-1)*(t0five/beta05),Lco瞬跳時間5)," ")</f>
        <v>0.64421873449065425</v>
      </c>
      <c r="X101">
        <f t="shared" si="47"/>
        <v>3000</v>
      </c>
      <c r="Y101">
        <f t="shared" si="48"/>
        <v>150</v>
      </c>
      <c r="AA101">
        <f t="shared" si="49"/>
        <v>1.05</v>
      </c>
      <c r="AB101">
        <f>IF(协调曲线图!$S$43="是，LCO绘图",IF((k0six/((POWER($A101,alfa06))-1)*(t0six/beta06))&gt;Lco瞬跳時間6,k0six/((POWER($A101,alfa06))-1)*(t0six/beta06),Lco瞬跳時間6)," ")</f>
        <v>0.79288459629618979</v>
      </c>
      <c r="AC101">
        <f t="shared" si="50"/>
        <v>5000</v>
      </c>
      <c r="AD101">
        <f t="shared" si="51"/>
        <v>300</v>
      </c>
    </row>
    <row r="102" spans="1:30">
      <c r="A102">
        <v>95</v>
      </c>
      <c r="B102">
        <f t="shared" si="36"/>
        <v>0.05</v>
      </c>
      <c r="C102">
        <f>IF(协调曲线图!$S$8="是，LCO绘图",IF((k0one/((POWER($A102,alfa01))-1)*(t0one/beta01))&gt;Lco瞬跳時間1,k0one/((POWER($A102,alfa01))-1)*(t0one/beta01),Lco瞬跳時間1)," ")</f>
        <v>0.24717410960058056</v>
      </c>
      <c r="D102">
        <f t="shared" si="52"/>
        <v>1050</v>
      </c>
      <c r="E102">
        <f t="shared" si="53"/>
        <v>150</v>
      </c>
      <c r="G102">
        <f t="shared" si="37"/>
        <v>0.25</v>
      </c>
      <c r="H102">
        <f>IF(协调曲线图!$S$15="是，LCO绘图",IF((k0two/((POWER($A102,alfa02))-1)*(t0two/beta02))&gt;Lco瞬跳時間2,k0two/((POWER($A102,alfa02))-1)*(t0two/beta02),Lco瞬跳時間2)," ")</f>
        <v>0.34604375344081278</v>
      </c>
      <c r="I102">
        <f t="shared" si="38"/>
        <v>1500</v>
      </c>
      <c r="J102">
        <f t="shared" si="39"/>
        <v>150</v>
      </c>
      <c r="L102">
        <f t="shared" si="40"/>
        <v>0.45</v>
      </c>
      <c r="M102">
        <f>IF(协调曲线图!$S$22="是，LCO绘图",IF((k0three/((POWER($A102,alfa03))-1)*(t0three/beta03))&gt;Lco瞬跳時間3,k0three/((POWER($A102,alfa03))-1)*(t0three/beta03),Lco瞬跳時間3)," ")</f>
        <v>0.44491339728104506</v>
      </c>
      <c r="N102">
        <f t="shared" si="41"/>
        <v>2000</v>
      </c>
      <c r="O102">
        <f t="shared" si="42"/>
        <v>150</v>
      </c>
      <c r="Q102">
        <f t="shared" si="43"/>
        <v>0.65</v>
      </c>
      <c r="R102">
        <f>IF(协调曲线图!$S$29="是，LCO绘图",IF((k0four/((POWER($A102,alfa04))-1)*(t0four/beta04))&gt;Lco瞬跳時間4,k0four/((POWER($A102,alfa04))-1)*(t0four/beta04),Lco瞬跳時間4)," ")</f>
        <v>0.54378304112127729</v>
      </c>
      <c r="S102">
        <f t="shared" si="44"/>
        <v>2500</v>
      </c>
      <c r="T102">
        <f t="shared" si="45"/>
        <v>150</v>
      </c>
      <c r="V102">
        <f t="shared" si="46"/>
        <v>0.85</v>
      </c>
      <c r="W102">
        <f>IF(协调曲线图!$S$36="是，LCO绘图",IF((k0five/((POWER($A102,alfa05))-1)*(t0five/beta05))&gt;Lco瞬跳時間5,k0five/((POWER($A102,alfa05))-1)*(t0five/beta05),Lco瞬跳時間5)," ")</f>
        <v>0.64265268496150951</v>
      </c>
      <c r="X102">
        <f t="shared" si="47"/>
        <v>3000</v>
      </c>
      <c r="Y102">
        <f t="shared" si="48"/>
        <v>150</v>
      </c>
      <c r="AA102">
        <f t="shared" si="49"/>
        <v>1.05</v>
      </c>
      <c r="AB102">
        <f>IF(协调曲线图!$S$43="是，LCO绘图",IF((k0six/((POWER($A102,alfa06))-1)*(t0six/beta06))&gt;Lco瞬跳時間6,k0six/((POWER($A102,alfa06))-1)*(t0six/beta06),Lco瞬跳時間6)," ")</f>
        <v>0.7909571507218579</v>
      </c>
      <c r="AC102">
        <f t="shared" si="50"/>
        <v>5000</v>
      </c>
      <c r="AD102">
        <f t="shared" si="51"/>
        <v>300</v>
      </c>
    </row>
    <row r="103" spans="1:30">
      <c r="A103">
        <v>96</v>
      </c>
      <c r="B103">
        <f t="shared" si="36"/>
        <v>0.05</v>
      </c>
      <c r="C103">
        <f>IF(协调曲线图!$S$8="是，LCO绘图",IF((k0one/((POWER($A103,alfa01))-1)*(t0one/beta01))&gt;Lco瞬跳時間1,k0one/((POWER($A103,alfa01))-1)*(t0one/beta01),Lco瞬跳時間1)," ")</f>
        <v>0.24658084114274118</v>
      </c>
      <c r="D103">
        <f t="shared" si="52"/>
        <v>1050</v>
      </c>
      <c r="E103">
        <f t="shared" si="53"/>
        <v>150</v>
      </c>
      <c r="G103">
        <f t="shared" si="37"/>
        <v>0.25</v>
      </c>
      <c r="H103">
        <f>IF(协调曲线图!$S$15="是，LCO绘图",IF((k0two/((POWER($A103,alfa02))-1)*(t0two/beta02))&gt;Lco瞬跳時間2,k0two/((POWER($A103,alfa02))-1)*(t0two/beta02),Lco瞬跳時間2)," ")</f>
        <v>0.34521317759983766</v>
      </c>
      <c r="I103">
        <f t="shared" si="38"/>
        <v>1500</v>
      </c>
      <c r="J103">
        <f t="shared" si="39"/>
        <v>150</v>
      </c>
      <c r="L103">
        <f t="shared" si="40"/>
        <v>0.45</v>
      </c>
      <c r="M103">
        <f>IF(协调曲线图!$S$22="是，LCO绘图",IF((k0three/((POWER($A103,alfa03))-1)*(t0three/beta03))&gt;Lco瞬跳時間3,k0three/((POWER($A103,alfa03))-1)*(t0three/beta03),Lco瞬跳時間3)," ")</f>
        <v>0.44384551405693418</v>
      </c>
      <c r="N103">
        <f t="shared" si="41"/>
        <v>2000</v>
      </c>
      <c r="O103">
        <f t="shared" si="42"/>
        <v>150</v>
      </c>
      <c r="Q103">
        <f t="shared" si="43"/>
        <v>0.65</v>
      </c>
      <c r="R103">
        <f>IF(协调曲线图!$S$29="是，LCO绘图",IF((k0four/((POWER($A103,alfa04))-1)*(t0four/beta04))&gt;Lco瞬跳時間4,k0four/((POWER($A103,alfa04))-1)*(t0four/beta04),Lco瞬跳時間4)," ")</f>
        <v>0.54247785051403064</v>
      </c>
      <c r="S103">
        <f t="shared" si="44"/>
        <v>2500</v>
      </c>
      <c r="T103">
        <f t="shared" si="45"/>
        <v>150</v>
      </c>
      <c r="V103">
        <f t="shared" si="46"/>
        <v>0.85</v>
      </c>
      <c r="W103">
        <f>IF(协调曲线图!$S$36="是，LCO绘图",IF((k0five/((POWER($A103,alfa05))-1)*(t0five/beta05))&gt;Lco瞬跳時間5,k0five/((POWER($A103,alfa05))-1)*(t0five/beta05),Lco瞬跳時間5)," ")</f>
        <v>0.64111018697112709</v>
      </c>
      <c r="X103">
        <f t="shared" si="47"/>
        <v>3000</v>
      </c>
      <c r="Y103">
        <f t="shared" si="48"/>
        <v>150</v>
      </c>
      <c r="AA103">
        <f t="shared" si="49"/>
        <v>1.05</v>
      </c>
      <c r="AB103">
        <f>IF(协调曲线图!$S$43="是，LCO绘图",IF((k0six/((POWER($A103,alfa06))-1)*(t0six/beta06))&gt;Lco瞬跳時間6,k0six/((POWER($A103,alfa06))-1)*(t0six/beta06),Lco瞬跳時間6)," ")</f>
        <v>0.78905869165677178</v>
      </c>
      <c r="AC103">
        <f t="shared" si="50"/>
        <v>5000</v>
      </c>
      <c r="AD103">
        <f t="shared" si="51"/>
        <v>300</v>
      </c>
    </row>
    <row r="104" spans="1:30">
      <c r="A104">
        <v>97</v>
      </c>
      <c r="B104">
        <f t="shared" ref="B104:B135" si="54">IF((kone/((POWER($A104,alfa1))-1)*(tone/beta1))&gt;瞬跳時間1,kone/((POWER($A104,alfa1))-1)*(tone/beta1),瞬跳時間1)</f>
        <v>0.05</v>
      </c>
      <c r="C104">
        <f>IF(协调曲线图!$S$8="是，LCO绘图",IF((k0one/((POWER($A104,alfa01))-1)*(t0one/beta01))&gt;Lco瞬跳時間1,k0one/((POWER($A104,alfa01))-1)*(t0one/beta01),Lco瞬跳時間1)," ")</f>
        <v>0.24599639636368681</v>
      </c>
      <c r="D104">
        <f t="shared" si="52"/>
        <v>1050</v>
      </c>
      <c r="E104">
        <f t="shared" si="53"/>
        <v>150</v>
      </c>
      <c r="G104">
        <f t="shared" ref="G104:G135" si="55">IF((ktwo/((POWER($A104,alfa2))-1)*(ttwo/beta2))&gt;瞬跳時間2,ktwo/((POWER($A104,alfa2))-1)*(ttwo/beta2),瞬跳時間2)</f>
        <v>0.25</v>
      </c>
      <c r="H104">
        <f>IF(协调曲线图!$S$15="是，LCO绘图",IF((k0two/((POWER($A104,alfa02))-1)*(t0two/beta02))&gt;Lco瞬跳時間2,k0two/((POWER($A104,alfa02))-1)*(t0two/beta02),Lco瞬跳時間2)," ")</f>
        <v>0.34439495490916155</v>
      </c>
      <c r="I104">
        <f t="shared" ref="I104:I135" si="56">IF(Istwo*$A104&gt;=瞬跳電流2,瞬跳電流2,Istwo*$A104)/(covb2/covt2)</f>
        <v>1500</v>
      </c>
      <c r="J104">
        <f t="shared" ref="J104:J135" si="57">IF(Is0two*$A104&gt;=Lco瞬跳電流2,Lco瞬跳電流2,Is0two*$A104)/(covb2/covt2)</f>
        <v>150</v>
      </c>
      <c r="L104">
        <f t="shared" ref="L104:L135" si="58">IF((kthree/((POWER($A104,alfa3))-1)*(tthree/beta3))&gt;瞬跳時間3,kthree/((POWER($A104,alfa3))-1)*(tthree/beta3),瞬跳時間3)</f>
        <v>0.45</v>
      </c>
      <c r="M104">
        <f>IF(协调曲线图!$S$22="是，LCO绘图",IF((k0three/((POWER($A104,alfa03))-1)*(t0three/beta03))&gt;Lco瞬跳時間3,k0three/((POWER($A104,alfa03))-1)*(t0three/beta03),Lco瞬跳時間3)," ")</f>
        <v>0.4427935134546363</v>
      </c>
      <c r="N104">
        <f t="shared" ref="N104:N135" si="59">IF(Isthree*$A104&gt;=瞬跳電流3,瞬跳電流3,Isthree*$A104)/(covb3/covt3)</f>
        <v>2000</v>
      </c>
      <c r="O104">
        <f t="shared" ref="O104:O135" si="60">IF(Is0three*$A104&gt;=Lco瞬跳電流3,Lco瞬跳電流3,Is0three*$A104)/(covb3/covt3)</f>
        <v>150</v>
      </c>
      <c r="Q104">
        <f t="shared" ref="Q104:Q135" si="61">IF((kfour/((POWER($A104,alfa4))-1)*(tfour/beta4))&gt;瞬跳時間4,kfour/((POWER($A104,alfa4))-1)*(tfour/beta4),瞬跳時間4)</f>
        <v>0.65</v>
      </c>
      <c r="R104">
        <f>IF(协调曲线图!$S$29="是，LCO绘图",IF((k0four/((POWER($A104,alfa04))-1)*(t0four/beta04))&gt;Lco瞬跳時間4,k0four/((POWER($A104,alfa04))-1)*(t0four/beta04),Lco瞬跳時間4)," ")</f>
        <v>0.54119207200011099</v>
      </c>
      <c r="S104">
        <f t="shared" ref="S104:S135" si="62">IF(Isfour*$A104&gt;=瞬跳電流4,瞬跳電流4,Isfour*$A104)/(covb4/covt4)</f>
        <v>2500</v>
      </c>
      <c r="T104">
        <f t="shared" ref="T104:T135" si="63">IF(Is0four*$A104&gt;=Lco瞬跳電流4,Lco瞬跳電流4,Is0four*$A104)/(covb4/covt4)</f>
        <v>150</v>
      </c>
      <c r="V104">
        <f t="shared" ref="V104:V135" si="64">IF((kfive/((POWER($A104,alfa5))-1)*(tfive/beta5))&gt;瞬跳時間5,kfive/((POWER($A104,alfa5))-1)*(tfive/beta5),瞬跳時間5)</f>
        <v>0.85</v>
      </c>
      <c r="W104">
        <f>IF(协调曲线图!$S$36="是，LCO绘图",IF((k0five/((POWER($A104,alfa05))-1)*(t0five/beta05))&gt;Lco瞬跳時間5,k0five/((POWER($A104,alfa05))-1)*(t0five/beta05),Lco瞬跳時間5)," ")</f>
        <v>0.63959063054558574</v>
      </c>
      <c r="X104">
        <f t="shared" ref="X104:X135" si="65">IF(Isfive*$A104&gt;=瞬跳電流5,瞬跳電流5,Isfive*$A104)/(covb5/covt5)</f>
        <v>3000</v>
      </c>
      <c r="Y104">
        <f t="shared" ref="Y104:Y135" si="66">IF(Is0five*$A104&gt;=Lco瞬跳電流5,Lco瞬跳電流5,Is0five*$A104)/(covb5/covt5)</f>
        <v>150</v>
      </c>
      <c r="AA104">
        <f t="shared" ref="AA104:AA135" si="67">IF((ksix/((POWER($A104,alfa6))-1)*(tsix/beta6))&gt;瞬跳時間6,ksix/((POWER($A104,alfa6))-1)*(tsix/beta6),瞬跳時間6)</f>
        <v>1.05</v>
      </c>
      <c r="AB104">
        <f>IF(协调曲线图!$S$43="是，LCO绘图",IF((k0six/((POWER($A104,alfa06))-1)*(t0six/beta06))&gt;Lco瞬跳時間6,k0six/((POWER($A104,alfa06))-1)*(t0six/beta06),Lco瞬跳時間6)," ")</f>
        <v>0.78718846836379786</v>
      </c>
      <c r="AC104">
        <f t="shared" ref="AC104:AC135" si="68">IF(Issix*$A104&gt;=瞬跳電流6,瞬跳電流6,Issix*$A104)/(covb6/covt6)</f>
        <v>5000</v>
      </c>
      <c r="AD104">
        <f t="shared" ref="AD104:AD135" si="69">IF(Is0six*$A104&gt;=Lco瞬跳電流6,Lco瞬跳電流6,Is0six*$A104)/(covb6/covt6)</f>
        <v>300</v>
      </c>
    </row>
    <row r="105" spans="1:30">
      <c r="A105">
        <v>98</v>
      </c>
      <c r="B105">
        <f t="shared" si="54"/>
        <v>0.05</v>
      </c>
      <c r="C105">
        <f>IF(协调曲线图!$S$8="是，LCO绘图",IF((k0one/((POWER($A105,alfa01))-1)*(t0one/beta01))&gt;Lco瞬跳時間1,k0one/((POWER($A105,alfa01))-1)*(t0one/beta01),Lco瞬跳時間1)," ")</f>
        <v>0.24542054918421455</v>
      </c>
      <c r="D105">
        <f t="shared" ref="D105:D136" si="70">IF(Isone*$A105&gt;=瞬跳電流1,瞬跳電流1,Isone*$A105)/(covb1/covt1)</f>
        <v>1050</v>
      </c>
      <c r="E105">
        <f t="shared" ref="E105:E136" si="71">IF(Is0one*$A105&gt;=Lco瞬跳電流1,Lco瞬跳電流1,Is0one*$A105)/(covb1/covt1)</f>
        <v>150</v>
      </c>
      <c r="G105">
        <f t="shared" si="55"/>
        <v>0.25</v>
      </c>
      <c r="H105">
        <f>IF(协调曲线图!$S$15="是，LCO绘图",IF((k0two/((POWER($A105,alfa02))-1)*(t0two/beta02))&gt;Lco瞬跳時間2,k0two/((POWER($A105,alfa02))-1)*(t0two/beta02),Lco瞬跳時間2)," ")</f>
        <v>0.34358876885790041</v>
      </c>
      <c r="I105">
        <f t="shared" si="56"/>
        <v>1500</v>
      </c>
      <c r="J105">
        <f t="shared" si="57"/>
        <v>150</v>
      </c>
      <c r="L105">
        <f t="shared" si="58"/>
        <v>0.45</v>
      </c>
      <c r="M105">
        <f>IF(协调曲线图!$S$22="是，LCO绘图",IF((k0three/((POWER($A105,alfa03))-1)*(t0three/beta03))&gt;Lco瞬跳時間3,k0three/((POWER($A105,alfa03))-1)*(t0three/beta03),Lco瞬跳時間3)," ")</f>
        <v>0.44175698853158624</v>
      </c>
      <c r="N105">
        <f t="shared" si="59"/>
        <v>2000</v>
      </c>
      <c r="O105">
        <f t="shared" si="60"/>
        <v>150</v>
      </c>
      <c r="Q105">
        <f t="shared" si="61"/>
        <v>0.65</v>
      </c>
      <c r="R105">
        <f>IF(协调曲线图!$S$29="是，LCO绘图",IF((k0four/((POWER($A105,alfa04))-1)*(t0four/beta04))&gt;Lco瞬跳時間4,k0four/((POWER($A105,alfa04))-1)*(t0four/beta04),Lco瞬跳時間4)," ")</f>
        <v>0.53992520820527201</v>
      </c>
      <c r="S105">
        <f t="shared" si="62"/>
        <v>2500</v>
      </c>
      <c r="T105">
        <f t="shared" si="63"/>
        <v>150</v>
      </c>
      <c r="V105">
        <f t="shared" si="64"/>
        <v>0.85</v>
      </c>
      <c r="W105">
        <f>IF(协调曲线图!$S$36="是，LCO绘图",IF((k0five/((POWER($A105,alfa05))-1)*(t0five/beta05))&gt;Lco瞬跳時間5,k0five/((POWER($A105,alfa05))-1)*(t0five/beta05),Lco瞬跳時間5)," ")</f>
        <v>0.63809342787895795</v>
      </c>
      <c r="X105">
        <f t="shared" si="65"/>
        <v>3000</v>
      </c>
      <c r="Y105">
        <f t="shared" si="66"/>
        <v>150</v>
      </c>
      <c r="AA105">
        <f t="shared" si="67"/>
        <v>1.05</v>
      </c>
      <c r="AB105">
        <f>IF(协调曲线图!$S$43="是，LCO绘图",IF((k0six/((POWER($A105,alfa06))-1)*(t0six/beta06))&gt;Lco瞬跳時間6,k0six/((POWER($A105,alfa06))-1)*(t0six/beta06),Lco瞬跳時間6)," ")</f>
        <v>0.78534575738948664</v>
      </c>
      <c r="AC105">
        <f t="shared" si="68"/>
        <v>5000</v>
      </c>
      <c r="AD105">
        <f t="shared" si="69"/>
        <v>300</v>
      </c>
    </row>
    <row r="106" spans="1:30">
      <c r="A106">
        <v>99</v>
      </c>
      <c r="B106">
        <f t="shared" si="54"/>
        <v>0.05</v>
      </c>
      <c r="C106">
        <f>IF(协调曲线图!$S$8="是，LCO绘图",IF((k0one/((POWER($A106,alfa01))-1)*(t0one/beta01))&gt;Lco瞬跳時間1,k0one/((POWER($A106,alfa01))-1)*(t0one/beta01),Lco瞬跳時間1)," ")</f>
        <v>0.24485308165495609</v>
      </c>
      <c r="D106">
        <f t="shared" si="70"/>
        <v>1050</v>
      </c>
      <c r="E106">
        <f t="shared" si="71"/>
        <v>150</v>
      </c>
      <c r="G106">
        <f t="shared" si="55"/>
        <v>0.25</v>
      </c>
      <c r="H106">
        <f>IF(协调曲线图!$S$15="是，LCO绘图",IF((k0two/((POWER($A106,alfa02))-1)*(t0two/beta02))&gt;Lco瞬跳時間2,k0two/((POWER($A106,alfa02))-1)*(t0two/beta02),Lco瞬跳時間2)," ")</f>
        <v>0.34279431431693852</v>
      </c>
      <c r="I106">
        <f t="shared" si="56"/>
        <v>1500</v>
      </c>
      <c r="J106">
        <f t="shared" si="57"/>
        <v>150</v>
      </c>
      <c r="L106">
        <f t="shared" si="58"/>
        <v>0.45</v>
      </c>
      <c r="M106">
        <f>IF(协调曲线图!$S$22="是，LCO绘图",IF((k0three/((POWER($A106,alfa03))-1)*(t0three/beta03))&gt;Lco瞬跳時間3,k0three/((POWER($A106,alfa03))-1)*(t0three/beta03),Lco瞬跳時間3)," ")</f>
        <v>0.44073554697892098</v>
      </c>
      <c r="N106">
        <f t="shared" si="59"/>
        <v>2000</v>
      </c>
      <c r="O106">
        <f t="shared" si="60"/>
        <v>150</v>
      </c>
      <c r="Q106">
        <f t="shared" si="61"/>
        <v>0.65</v>
      </c>
      <c r="R106">
        <f>IF(协调曲线图!$S$29="是，LCO绘图",IF((k0four/((POWER($A106,alfa04))-1)*(t0four/beta04))&gt;Lco瞬跳時間4,k0four/((POWER($A106,alfa04))-1)*(t0four/beta04),Lco瞬跳時間4)," ")</f>
        <v>0.53867677964090344</v>
      </c>
      <c r="S106">
        <f t="shared" si="62"/>
        <v>2500</v>
      </c>
      <c r="T106">
        <f t="shared" si="63"/>
        <v>150</v>
      </c>
      <c r="V106">
        <f t="shared" si="64"/>
        <v>0.85</v>
      </c>
      <c r="W106">
        <f>IF(协调曲线图!$S$36="是，LCO绘图",IF((k0five/((POWER($A106,alfa05))-1)*(t0five/beta05))&gt;Lco瞬跳時間5,k0five/((POWER($A106,alfa05))-1)*(t0five/beta05),Lco瞬跳時間5)," ")</f>
        <v>0.63661801230288584</v>
      </c>
      <c r="X106">
        <f t="shared" si="65"/>
        <v>3000</v>
      </c>
      <c r="Y106">
        <f t="shared" si="66"/>
        <v>150</v>
      </c>
      <c r="AA106">
        <f t="shared" si="67"/>
        <v>1.05</v>
      </c>
      <c r="AB106">
        <f>IF(协调曲线图!$S$43="是，LCO绘图",IF((k0six/((POWER($A106,alfa06))-1)*(t0six/beta06))&gt;Lco瞬跳時間6,k0six/((POWER($A106,alfa06))-1)*(t0six/beta06),Lco瞬跳時間6)," ")</f>
        <v>0.78352986129585955</v>
      </c>
      <c r="AC106">
        <f t="shared" si="68"/>
        <v>5000</v>
      </c>
      <c r="AD106">
        <f t="shared" si="69"/>
        <v>300</v>
      </c>
    </row>
    <row r="107" spans="1:30">
      <c r="A107">
        <v>100</v>
      </c>
      <c r="B107">
        <f t="shared" si="54"/>
        <v>0.05</v>
      </c>
      <c r="C107">
        <f>IF(协调曲线图!$S$8="是，LCO绘图",IF((k0one/((POWER($A107,alfa01))-1)*(t0one/beta01))&gt;Lco瞬跳時間1,k0one/((POWER($A107,alfa01))-1)*(t0one/beta01),Lco瞬跳時間1)," ")</f>
        <v>0.24429378358239973</v>
      </c>
      <c r="D107">
        <f t="shared" si="70"/>
        <v>1050</v>
      </c>
      <c r="E107">
        <f t="shared" si="71"/>
        <v>150</v>
      </c>
      <c r="G107">
        <f t="shared" si="55"/>
        <v>0.25</v>
      </c>
      <c r="H107">
        <f>IF(协调曲线图!$S$15="是，LCO绘图",IF((k0two/((POWER($A107,alfa02))-1)*(t0two/beta02))&gt;Lco瞬跳時間2,k0two/((POWER($A107,alfa02))-1)*(t0two/beta02),Lco瞬跳時間2)," ")</f>
        <v>0.34201129701535959</v>
      </c>
      <c r="I107">
        <f t="shared" si="56"/>
        <v>1500</v>
      </c>
      <c r="J107">
        <f t="shared" si="57"/>
        <v>150</v>
      </c>
      <c r="L107">
        <f t="shared" si="58"/>
        <v>0.45</v>
      </c>
      <c r="M107">
        <f>IF(协调曲线图!$S$22="是，LCO绘图",IF((k0three/((POWER($A107,alfa03))-1)*(t0three/beta03))&gt;Lco瞬跳時間3,k0three/((POWER($A107,alfa03))-1)*(t0three/beta03),Lco瞬跳時間3)," ")</f>
        <v>0.43972881044831957</v>
      </c>
      <c r="N107">
        <f t="shared" si="59"/>
        <v>2000</v>
      </c>
      <c r="O107">
        <f t="shared" si="60"/>
        <v>150</v>
      </c>
      <c r="Q107">
        <f t="shared" si="61"/>
        <v>0.65</v>
      </c>
      <c r="R107">
        <f>IF(协调曲线图!$S$29="是，LCO绘图",IF((k0four/((POWER($A107,alfa04))-1)*(t0four/beta04))&gt;Lco瞬跳時間4,k0four/((POWER($A107,alfa04))-1)*(t0four/beta04),Lco瞬跳時間4)," ")</f>
        <v>0.53744632388127944</v>
      </c>
      <c r="S107">
        <f t="shared" si="62"/>
        <v>2500</v>
      </c>
      <c r="T107">
        <f t="shared" si="63"/>
        <v>150</v>
      </c>
      <c r="V107">
        <f t="shared" si="64"/>
        <v>0.85</v>
      </c>
      <c r="W107">
        <f>IF(协调曲线图!$S$36="是，LCO绘图",IF((k0five/((POWER($A107,alfa05))-1)*(t0five/beta05))&gt;Lco瞬跳時間5,k0five/((POWER($A107,alfa05))-1)*(t0five/beta05),Lco瞬跳時間5)," ")</f>
        <v>0.63516383731423931</v>
      </c>
      <c r="X107">
        <f t="shared" si="65"/>
        <v>3000</v>
      </c>
      <c r="Y107">
        <f t="shared" si="66"/>
        <v>150</v>
      </c>
      <c r="AA107">
        <f t="shared" si="67"/>
        <v>1.05</v>
      </c>
      <c r="AB107">
        <f>IF(协调曲线图!$S$43="是，LCO绘图",IF((k0six/((POWER($A107,alfa06))-1)*(t0six/beta06))&gt;Lco瞬跳時間6,k0six/((POWER($A107,alfa06))-1)*(t0six/beta06),Lco瞬跳時間6)," ")</f>
        <v>0.78174010746367917</v>
      </c>
      <c r="AC107">
        <f t="shared" si="68"/>
        <v>5000</v>
      </c>
      <c r="AD107">
        <f t="shared" si="69"/>
        <v>300</v>
      </c>
    </row>
    <row r="108" spans="1:30">
      <c r="A108">
        <v>101</v>
      </c>
      <c r="B108">
        <f t="shared" si="54"/>
        <v>0.05</v>
      </c>
      <c r="C108">
        <f>IF(协调曲线图!$S$8="是，LCO绘图",IF((k0one/((POWER($A108,alfa01))-1)*(t0one/beta01))&gt;Lco瞬跳時間1,k0one/((POWER($A108,alfa01))-1)*(t0one/beta01),Lco瞬跳時間1)," ")</f>
        <v>0.24374245217577345</v>
      </c>
      <c r="D108">
        <f t="shared" si="70"/>
        <v>1050</v>
      </c>
      <c r="E108">
        <f t="shared" si="71"/>
        <v>150</v>
      </c>
      <c r="G108">
        <f t="shared" si="55"/>
        <v>0.25</v>
      </c>
      <c r="H108">
        <f>IF(协调曲线图!$S$15="是，LCO绘图",IF((k0two/((POWER($A108,alfa02))-1)*(t0two/beta02))&gt;Lco瞬跳時間2,k0two/((POWER($A108,alfa02))-1)*(t0two/beta02),Lco瞬跳時間2)," ")</f>
        <v>0.34123943304608284</v>
      </c>
      <c r="I108">
        <f t="shared" si="56"/>
        <v>1500</v>
      </c>
      <c r="J108">
        <f t="shared" si="57"/>
        <v>150</v>
      </c>
      <c r="L108">
        <f t="shared" si="58"/>
        <v>0.45</v>
      </c>
      <c r="M108">
        <f>IF(协调曲线图!$S$22="是，LCO绘图",IF((k0three/((POWER($A108,alfa03))-1)*(t0three/beta03))&gt;Lco瞬跳時間3,k0three/((POWER($A108,alfa03))-1)*(t0three/beta03),Lco瞬跳時間3)," ")</f>
        <v>0.43873641391639223</v>
      </c>
      <c r="N108">
        <f t="shared" si="59"/>
        <v>2000</v>
      </c>
      <c r="O108">
        <f t="shared" si="60"/>
        <v>150</v>
      </c>
      <c r="Q108">
        <f t="shared" si="61"/>
        <v>0.65</v>
      </c>
      <c r="R108">
        <f>IF(协调曲线图!$S$29="是，LCO绘图",IF((k0four/((POWER($A108,alfa04))-1)*(t0four/beta04))&gt;Lco瞬跳時間4,k0four/((POWER($A108,alfa04))-1)*(t0four/beta04),Lco瞬跳時間4)," ")</f>
        <v>0.53623339478670162</v>
      </c>
      <c r="S108">
        <f t="shared" si="62"/>
        <v>2500</v>
      </c>
      <c r="T108">
        <f t="shared" si="63"/>
        <v>150</v>
      </c>
      <c r="V108">
        <f t="shared" si="64"/>
        <v>0.85</v>
      </c>
      <c r="W108">
        <f>IF(协调曲线图!$S$36="是，LCO绘图",IF((k0five/((POWER($A108,alfa05))-1)*(t0five/beta05))&gt;Lco瞬跳時間5,k0five/((POWER($A108,alfa05))-1)*(t0five/beta05),Lco瞬跳時間5)," ")</f>
        <v>0.63373037565701107</v>
      </c>
      <c r="X108">
        <f t="shared" si="65"/>
        <v>3000</v>
      </c>
      <c r="Y108">
        <f t="shared" si="66"/>
        <v>150</v>
      </c>
      <c r="AA108">
        <f t="shared" si="67"/>
        <v>1.05</v>
      </c>
      <c r="AB108">
        <f>IF(协调曲线图!$S$43="是，LCO绘图",IF((k0six/((POWER($A108,alfa06))-1)*(t0six/beta06))&gt;Lco瞬跳時間6,k0six/((POWER($A108,alfa06))-1)*(t0six/beta06),Lco瞬跳時間6)," ")</f>
        <v>0.77997584696247513</v>
      </c>
      <c r="AC108">
        <f t="shared" si="68"/>
        <v>5000</v>
      </c>
      <c r="AD108">
        <f t="shared" si="69"/>
        <v>300</v>
      </c>
    </row>
    <row r="109" spans="1:30">
      <c r="A109">
        <v>102</v>
      </c>
      <c r="B109">
        <f t="shared" si="54"/>
        <v>0.05</v>
      </c>
      <c r="C109">
        <f>IF(协调曲线图!$S$8="是，LCO绘图",IF((k0one/((POWER($A109,alfa01))-1)*(t0one/beta01))&gt;Lco瞬跳時間1,k0one/((POWER($A109,alfa01))-1)*(t0one/beta01),Lco瞬跳時間1)," ")</f>
        <v>0.24319889171342876</v>
      </c>
      <c r="D109">
        <f t="shared" si="70"/>
        <v>1050</v>
      </c>
      <c r="E109">
        <f t="shared" si="71"/>
        <v>150</v>
      </c>
      <c r="G109">
        <f t="shared" si="55"/>
        <v>0.25</v>
      </c>
      <c r="H109">
        <f>IF(协调曲线图!$S$15="是，LCO绘图",IF((k0two/((POWER($A109,alfa02))-1)*(t0two/beta02))&gt;Lco瞬跳時間2,k0two/((POWER($A109,alfa02))-1)*(t0two/beta02),Lco瞬跳時間2)," ")</f>
        <v>0.34047844839880026</v>
      </c>
      <c r="I109">
        <f t="shared" si="56"/>
        <v>1500</v>
      </c>
      <c r="J109">
        <f t="shared" si="57"/>
        <v>150</v>
      </c>
      <c r="L109">
        <f t="shared" si="58"/>
        <v>0.45</v>
      </c>
      <c r="M109">
        <f>IF(协调曲线图!$S$22="是，LCO绘图",IF((k0three/((POWER($A109,alfa03))-1)*(t0three/beta03))&gt;Lco瞬跳時間3,k0three/((POWER($A109,alfa03))-1)*(t0three/beta03),Lco瞬跳時間3)," ")</f>
        <v>0.43775800508417184</v>
      </c>
      <c r="N109">
        <f t="shared" si="59"/>
        <v>2000</v>
      </c>
      <c r="O109">
        <f t="shared" si="60"/>
        <v>150</v>
      </c>
      <c r="Q109">
        <f t="shared" si="61"/>
        <v>0.65</v>
      </c>
      <c r="R109">
        <f>IF(协调曲线图!$S$29="是，LCO绘图",IF((k0four/((POWER($A109,alfa04))-1)*(t0four/beta04))&gt;Lco瞬跳時間4,k0four/((POWER($A109,alfa04))-1)*(t0four/beta04),Lco瞬跳時間4)," ")</f>
        <v>0.53503756176954331</v>
      </c>
      <c r="S109">
        <f t="shared" si="62"/>
        <v>2500</v>
      </c>
      <c r="T109">
        <f t="shared" si="63"/>
        <v>150</v>
      </c>
      <c r="V109">
        <f t="shared" si="64"/>
        <v>0.85</v>
      </c>
      <c r="W109">
        <f>IF(协调曲线图!$S$36="是，LCO绘图",IF((k0five/((POWER($A109,alfa05))-1)*(t0five/beta05))&gt;Lco瞬跳時間5,k0five/((POWER($A109,alfa05))-1)*(t0five/beta05),Lco瞬跳時間5)," ")</f>
        <v>0.63231711845491489</v>
      </c>
      <c r="X109">
        <f t="shared" si="65"/>
        <v>3000</v>
      </c>
      <c r="Y109">
        <f t="shared" si="66"/>
        <v>150</v>
      </c>
      <c r="AA109">
        <f t="shared" si="67"/>
        <v>1.05</v>
      </c>
      <c r="AB109">
        <f>IF(协调曲线图!$S$43="是，LCO绘图",IF((k0six/((POWER($A109,alfa06))-1)*(t0six/beta06))&gt;Lco瞬跳時間6,k0six/((POWER($A109,alfa06))-1)*(t0six/beta06),Lco瞬跳時間6)," ")</f>
        <v>0.7782364534829721</v>
      </c>
      <c r="AC109">
        <f t="shared" si="68"/>
        <v>5000</v>
      </c>
      <c r="AD109">
        <f t="shared" si="69"/>
        <v>300</v>
      </c>
    </row>
    <row r="110" spans="1:30">
      <c r="A110">
        <v>103</v>
      </c>
      <c r="B110">
        <f t="shared" si="54"/>
        <v>0.05</v>
      </c>
      <c r="C110">
        <f>IF(协调曲线图!$S$8="是，LCO绘图",IF((k0one/((POWER($A110,alfa01))-1)*(t0one/beta01))&gt;Lco瞬跳時間1,k0one/((POWER($A110,alfa01))-1)*(t0one/beta01),Lco瞬跳時間1)," ")</f>
        <v>0.24266291322746786</v>
      </c>
      <c r="D110">
        <f t="shared" si="70"/>
        <v>1050</v>
      </c>
      <c r="E110">
        <f t="shared" si="71"/>
        <v>150</v>
      </c>
      <c r="G110">
        <f t="shared" si="55"/>
        <v>0.25</v>
      </c>
      <c r="H110">
        <f>IF(协调曲线图!$S$15="是，LCO绘图",IF((k0two/((POWER($A110,alfa02))-1)*(t0two/beta02))&gt;Lco瞬跳時間2,k0two/((POWER($A110,alfa02))-1)*(t0two/beta02),Lco瞬跳時間2)," ")</f>
        <v>0.33972807851845499</v>
      </c>
      <c r="I110">
        <f t="shared" si="56"/>
        <v>1500</v>
      </c>
      <c r="J110">
        <f t="shared" si="57"/>
        <v>150</v>
      </c>
      <c r="L110">
        <f t="shared" si="58"/>
        <v>0.45</v>
      </c>
      <c r="M110">
        <f>IF(协调曲线图!$S$22="是，LCO绘图",IF((k0three/((POWER($A110,alfa03))-1)*(t0three/beta03))&gt;Lco瞬跳時間3,k0three/((POWER($A110,alfa03))-1)*(t0three/beta03),Lco瞬跳時間3)," ")</f>
        <v>0.43679324380944218</v>
      </c>
      <c r="N110">
        <f t="shared" si="59"/>
        <v>2000</v>
      </c>
      <c r="O110">
        <f t="shared" si="60"/>
        <v>150</v>
      </c>
      <c r="Q110">
        <f t="shared" si="61"/>
        <v>0.65</v>
      </c>
      <c r="R110">
        <f>IF(协调曲线图!$S$29="是，LCO绘图",IF((k0four/((POWER($A110,alfa04))-1)*(t0four/beta04))&gt;Lco瞬跳時間4,k0four/((POWER($A110,alfa04))-1)*(t0four/beta04),Lco瞬跳時間4)," ")</f>
        <v>0.53385840910042925</v>
      </c>
      <c r="S110">
        <f t="shared" si="62"/>
        <v>2500</v>
      </c>
      <c r="T110">
        <f t="shared" si="63"/>
        <v>150</v>
      </c>
      <c r="V110">
        <f t="shared" si="64"/>
        <v>0.85</v>
      </c>
      <c r="W110">
        <f>IF(协调曲线图!$S$36="是，LCO绘图",IF((k0five/((POWER($A110,alfa05))-1)*(t0five/beta05))&gt;Lco瞬跳時間5,k0five/((POWER($A110,alfa05))-1)*(t0five/beta05),Lco瞬跳時間5)," ")</f>
        <v>0.63092357439141644</v>
      </c>
      <c r="X110">
        <f t="shared" si="65"/>
        <v>3000</v>
      </c>
      <c r="Y110">
        <f t="shared" si="66"/>
        <v>150</v>
      </c>
      <c r="AA110">
        <f t="shared" si="67"/>
        <v>1.05</v>
      </c>
      <c r="AB110">
        <f>IF(协调曲线图!$S$43="是，LCO绘图",IF((k0six/((POWER($A110,alfa06))-1)*(t0six/beta06))&gt;Lco瞬跳時間6,k0six/((POWER($A110,alfa06))-1)*(t0six/beta06),Lco瞬跳時間6)," ")</f>
        <v>0.77652132232789717</v>
      </c>
      <c r="AC110">
        <f t="shared" si="68"/>
        <v>5000</v>
      </c>
      <c r="AD110">
        <f t="shared" si="69"/>
        <v>300</v>
      </c>
    </row>
    <row r="111" spans="1:30">
      <c r="A111">
        <v>104</v>
      </c>
      <c r="B111">
        <f t="shared" si="54"/>
        <v>0.05</v>
      </c>
      <c r="C111">
        <f>IF(协调曲线图!$S$8="是，LCO绘图",IF((k0one/((POWER($A111,alfa01))-1)*(t0one/beta01))&gt;Lco瞬跳時間1,k0one/((POWER($A111,alfa01))-1)*(t0one/beta01),Lco瞬跳時間1)," ")</f>
        <v>0.24213433420543312</v>
      </c>
      <c r="D111">
        <f t="shared" si="70"/>
        <v>1050</v>
      </c>
      <c r="E111">
        <f t="shared" si="71"/>
        <v>150</v>
      </c>
      <c r="G111">
        <f t="shared" si="55"/>
        <v>0.25</v>
      </c>
      <c r="H111">
        <f>IF(协调曲线图!$S$15="是，LCO绘图",IF((k0two/((POWER($A111,alfa02))-1)*(t0two/beta02))&gt;Lco瞬跳時間2,k0two/((POWER($A111,alfa02))-1)*(t0two/beta02),Lco瞬跳時間2)," ")</f>
        <v>0.33898806788760638</v>
      </c>
      <c r="I111">
        <f t="shared" si="56"/>
        <v>1500</v>
      </c>
      <c r="J111">
        <f t="shared" si="57"/>
        <v>150</v>
      </c>
      <c r="L111">
        <f t="shared" si="58"/>
        <v>0.45</v>
      </c>
      <c r="M111">
        <f>IF(协调曲线图!$S$22="是，LCO绘图",IF((k0three/((POWER($A111,alfa03))-1)*(t0three/beta03))&gt;Lco瞬跳時間3,k0three/((POWER($A111,alfa03))-1)*(t0three/beta03),Lco瞬跳時間3)," ")</f>
        <v>0.4358418015697797</v>
      </c>
      <c r="N111">
        <f t="shared" si="59"/>
        <v>2000</v>
      </c>
      <c r="O111">
        <f t="shared" si="60"/>
        <v>150</v>
      </c>
      <c r="Q111">
        <f t="shared" si="61"/>
        <v>0.65</v>
      </c>
      <c r="R111">
        <f>IF(协调曲线图!$S$29="是，LCO绘图",IF((k0four/((POWER($A111,alfa04))-1)*(t0four/beta04))&gt;Lco瞬跳時間4,k0four/((POWER($A111,alfa04))-1)*(t0four/beta04),Lco瞬跳時間4)," ")</f>
        <v>0.5326955352519529</v>
      </c>
      <c r="S111">
        <f t="shared" si="62"/>
        <v>2500</v>
      </c>
      <c r="T111">
        <f t="shared" si="63"/>
        <v>150</v>
      </c>
      <c r="V111">
        <f t="shared" si="64"/>
        <v>0.85</v>
      </c>
      <c r="W111">
        <f>IF(协调曲线图!$S$36="是，LCO绘图",IF((k0five/((POWER($A111,alfa05))-1)*(t0five/beta05))&gt;Lco瞬跳時間5,k0five/((POWER($A111,alfa05))-1)*(t0five/beta05),Lco瞬跳時間5)," ")</f>
        <v>0.62954926893412622</v>
      </c>
      <c r="X111">
        <f t="shared" si="65"/>
        <v>3000</v>
      </c>
      <c r="Y111">
        <f t="shared" si="66"/>
        <v>150</v>
      </c>
      <c r="AA111">
        <f t="shared" si="67"/>
        <v>1.05</v>
      </c>
      <c r="AB111">
        <f>IF(协调曲线图!$S$43="是，LCO绘图",IF((k0six/((POWER($A111,alfa06))-1)*(t0six/beta06))&gt;Lco瞬跳時間6,k0six/((POWER($A111,alfa06))-1)*(t0six/beta06),Lco瞬跳時間6)," ")</f>
        <v>0.77482986945738608</v>
      </c>
      <c r="AC111">
        <f t="shared" si="68"/>
        <v>5000</v>
      </c>
      <c r="AD111">
        <f t="shared" si="69"/>
        <v>300</v>
      </c>
    </row>
    <row r="112" spans="1:30">
      <c r="A112">
        <v>105</v>
      </c>
      <c r="B112">
        <f t="shared" si="54"/>
        <v>0.05</v>
      </c>
      <c r="C112">
        <f>IF(协调曲线图!$S$8="是，LCO绘图",IF((k0one/((POWER($A112,alfa01))-1)*(t0one/beta01))&gt;Lco瞬跳時間1,k0one/((POWER($A112,alfa01))-1)*(t0one/beta01),Lco瞬跳時間1)," ")</f>
        <v>0.24161297830799039</v>
      </c>
      <c r="D112">
        <f t="shared" si="70"/>
        <v>1050</v>
      </c>
      <c r="E112">
        <f t="shared" si="71"/>
        <v>150</v>
      </c>
      <c r="G112">
        <f t="shared" si="55"/>
        <v>0.25</v>
      </c>
      <c r="H112">
        <f>IF(协调曲线图!$S$15="是，LCO绘图",IF((k0two/((POWER($A112,alfa02))-1)*(t0two/beta02))&gt;Lco瞬跳時間2,k0two/((POWER($A112,alfa02))-1)*(t0two/beta02),Lco瞬跳時間2)," ")</f>
        <v>0.33825816963118654</v>
      </c>
      <c r="I112">
        <f t="shared" si="56"/>
        <v>1500</v>
      </c>
      <c r="J112">
        <f t="shared" si="57"/>
        <v>150</v>
      </c>
      <c r="L112">
        <f t="shared" si="58"/>
        <v>0.45</v>
      </c>
      <c r="M112">
        <f>IF(协调曲线图!$S$22="是，LCO绘图",IF((k0three/((POWER($A112,alfa03))-1)*(t0three/beta03))&gt;Lco瞬跳時間3,k0three/((POWER($A112,alfa03))-1)*(t0three/beta03),Lco瞬跳時間3)," ")</f>
        <v>0.43490336095438276</v>
      </c>
      <c r="N112">
        <f t="shared" si="59"/>
        <v>2000</v>
      </c>
      <c r="O112">
        <f t="shared" si="60"/>
        <v>150</v>
      </c>
      <c r="Q112">
        <f t="shared" si="61"/>
        <v>0.65</v>
      </c>
      <c r="R112">
        <f>IF(协调曲线图!$S$29="是，LCO绘图",IF((k0four/((POWER($A112,alfa04))-1)*(t0four/beta04))&gt;Lco瞬跳時間4,k0four/((POWER($A112,alfa04))-1)*(t0four/beta04),Lco瞬跳時間4)," ")</f>
        <v>0.53154855227757891</v>
      </c>
      <c r="S112">
        <f t="shared" si="62"/>
        <v>2500</v>
      </c>
      <c r="T112">
        <f t="shared" si="63"/>
        <v>150</v>
      </c>
      <c r="V112">
        <f t="shared" si="64"/>
        <v>0.85</v>
      </c>
      <c r="W112">
        <f>IF(协调曲线图!$S$36="是，LCO绘图",IF((k0five/((POWER($A112,alfa05))-1)*(t0five/beta05))&gt;Lco瞬跳時間5,k0five/((POWER($A112,alfa05))-1)*(t0five/beta05),Lco瞬跳時間5)," ")</f>
        <v>0.62819374360077507</v>
      </c>
      <c r="X112">
        <f t="shared" si="65"/>
        <v>3000</v>
      </c>
      <c r="Y112">
        <f t="shared" si="66"/>
        <v>150</v>
      </c>
      <c r="AA112">
        <f t="shared" si="67"/>
        <v>1.05</v>
      </c>
      <c r="AB112">
        <f>IF(协调曲线图!$S$43="是，LCO绘图",IF((k0six/((POWER($A112,alfa06))-1)*(t0six/beta06))&gt;Lco瞬跳時間6,k0six/((POWER($A112,alfa06))-1)*(t0six/beta06),Lco瞬跳時間6)," ")</f>
        <v>0.77316153058556936</v>
      </c>
      <c r="AC112">
        <f t="shared" si="68"/>
        <v>5000</v>
      </c>
      <c r="AD112">
        <f t="shared" si="69"/>
        <v>300</v>
      </c>
    </row>
    <row r="113" spans="1:30">
      <c r="A113">
        <v>106</v>
      </c>
      <c r="B113">
        <f t="shared" si="54"/>
        <v>0.05</v>
      </c>
      <c r="C113">
        <f>IF(协调曲线图!$S$8="是，LCO绘图",IF((k0one/((POWER($A113,alfa01))-1)*(t0one/beta01))&gt;Lco瞬跳時間1,k0one/((POWER($A113,alfa01))-1)*(t0one/beta01),Lco瞬跳時間1)," ")</f>
        <v>0.24109867510159372</v>
      </c>
      <c r="D113">
        <f t="shared" si="70"/>
        <v>1050</v>
      </c>
      <c r="E113">
        <f t="shared" si="71"/>
        <v>150</v>
      </c>
      <c r="G113">
        <f t="shared" si="55"/>
        <v>0.25</v>
      </c>
      <c r="H113">
        <f>IF(协调曲线图!$S$15="是，LCO绘图",IF((k0two/((POWER($A113,alfa02))-1)*(t0two/beta02))&gt;Lco瞬跳時間2,k0two/((POWER($A113,alfa02))-1)*(t0two/beta02),Lco瞬跳時間2)," ")</f>
        <v>0.33753814514223124</v>
      </c>
      <c r="I113">
        <f t="shared" si="56"/>
        <v>1500</v>
      </c>
      <c r="J113">
        <f t="shared" si="57"/>
        <v>150</v>
      </c>
      <c r="L113">
        <f t="shared" si="58"/>
        <v>0.45</v>
      </c>
      <c r="M113">
        <f>IF(协调曲线图!$S$22="是，LCO绘图",IF((k0three/((POWER($A113,alfa03))-1)*(t0three/beta03))&gt;Lco瞬跳時間3,k0three/((POWER($A113,alfa03))-1)*(t0three/beta03),Lco瞬跳時間3)," ")</f>
        <v>0.43397761518286876</v>
      </c>
      <c r="N113">
        <f t="shared" si="59"/>
        <v>2000</v>
      </c>
      <c r="O113">
        <f t="shared" si="60"/>
        <v>150</v>
      </c>
      <c r="Q113">
        <f t="shared" si="61"/>
        <v>0.65</v>
      </c>
      <c r="R113">
        <f>IF(协调曲线图!$S$29="是，LCO绘图",IF((k0four/((POWER($A113,alfa04))-1)*(t0four/beta04))&gt;Lco瞬跳時間4,k0four/((POWER($A113,alfa04))-1)*(t0four/beta04),Lco瞬跳時間4)," ")</f>
        <v>0.53041708522350628</v>
      </c>
      <c r="S113">
        <f t="shared" si="62"/>
        <v>2500</v>
      </c>
      <c r="T113">
        <f t="shared" si="63"/>
        <v>150</v>
      </c>
      <c r="V113">
        <f t="shared" si="64"/>
        <v>0.85</v>
      </c>
      <c r="W113">
        <f>IF(协调曲线图!$S$36="是，LCO绘图",IF((k0five/((POWER($A113,alfa05))-1)*(t0five/beta05))&gt;Lco瞬跳時間5,k0five/((POWER($A113,alfa05))-1)*(t0five/beta05),Lco瞬跳時間5)," ")</f>
        <v>0.62685655526414374</v>
      </c>
      <c r="X113">
        <f t="shared" si="65"/>
        <v>3000</v>
      </c>
      <c r="Y113">
        <f t="shared" si="66"/>
        <v>150</v>
      </c>
      <c r="AA113">
        <f t="shared" si="67"/>
        <v>1.05</v>
      </c>
      <c r="AB113">
        <f>IF(协调曲线图!$S$43="是，LCO绘图",IF((k0six/((POWER($A113,alfa06))-1)*(t0six/beta06))&gt;Lco瞬跳時間6,k0six/((POWER($A113,alfa06))-1)*(t0six/beta06),Lco瞬跳時間6)," ")</f>
        <v>0.77151576032510005</v>
      </c>
      <c r="AC113">
        <f t="shared" si="68"/>
        <v>5000</v>
      </c>
      <c r="AD113">
        <f t="shared" si="69"/>
        <v>300</v>
      </c>
    </row>
    <row r="114" spans="1:30">
      <c r="A114">
        <v>107</v>
      </c>
      <c r="B114">
        <f t="shared" si="54"/>
        <v>0.05</v>
      </c>
      <c r="C114">
        <f>IF(协调曲线图!$S$8="是，LCO绘图",IF((k0one/((POWER($A114,alfa01))-1)*(t0one/beta01))&gt;Lco瞬跳時間1,k0one/((POWER($A114,alfa01))-1)*(t0one/beta01),Lco瞬跳時間1)," ")</f>
        <v>0.2405912598052028</v>
      </c>
      <c r="D114">
        <f t="shared" si="70"/>
        <v>1050</v>
      </c>
      <c r="E114">
        <f t="shared" si="71"/>
        <v>150</v>
      </c>
      <c r="G114">
        <f t="shared" si="55"/>
        <v>0.25</v>
      </c>
      <c r="H114">
        <f>IF(协调曲线图!$S$15="是，LCO绘图",IF((k0two/((POWER($A114,alfa02))-1)*(t0two/beta02))&gt;Lco瞬跳時間2,k0two/((POWER($A114,alfa02))-1)*(t0two/beta02),Lco瞬跳時間2)," ")</f>
        <v>0.3368277637272839</v>
      </c>
      <c r="I114">
        <f t="shared" si="56"/>
        <v>1500</v>
      </c>
      <c r="J114">
        <f t="shared" si="57"/>
        <v>150</v>
      </c>
      <c r="L114">
        <f t="shared" si="58"/>
        <v>0.45</v>
      </c>
      <c r="M114">
        <f>IF(协调曲线图!$S$22="是，LCO绘图",IF((k0three/((POWER($A114,alfa03))-1)*(t0three/beta03))&gt;Lco瞬跳時間3,k0three/((POWER($A114,alfa03))-1)*(t0three/beta03),Lco瞬跳時間3)," ")</f>
        <v>0.43306426764936506</v>
      </c>
      <c r="N114">
        <f t="shared" si="59"/>
        <v>2000</v>
      </c>
      <c r="O114">
        <f t="shared" si="60"/>
        <v>150</v>
      </c>
      <c r="Q114">
        <f t="shared" si="61"/>
        <v>0.65</v>
      </c>
      <c r="R114">
        <f>IF(协调曲线图!$S$29="是，LCO绘图",IF((k0four/((POWER($A114,alfa04))-1)*(t0four/beta04))&gt;Lco瞬跳時間4,k0four/((POWER($A114,alfa04))-1)*(t0four/beta04),Lco瞬跳時間4)," ")</f>
        <v>0.52930077157144617</v>
      </c>
      <c r="S114">
        <f t="shared" si="62"/>
        <v>2500</v>
      </c>
      <c r="T114">
        <f t="shared" si="63"/>
        <v>150</v>
      </c>
      <c r="V114">
        <f t="shared" si="64"/>
        <v>0.85</v>
      </c>
      <c r="W114">
        <f>IF(协调曲线图!$S$36="是，LCO绘图",IF((k0five/((POWER($A114,alfa05))-1)*(t0five/beta05))&gt;Lco瞬跳時間5,k0five/((POWER($A114,alfa05))-1)*(t0five/beta05),Lco瞬跳時間5)," ")</f>
        <v>0.62553727549352733</v>
      </c>
      <c r="X114">
        <f t="shared" si="65"/>
        <v>3000</v>
      </c>
      <c r="Y114">
        <f t="shared" si="66"/>
        <v>150</v>
      </c>
      <c r="AA114">
        <f t="shared" si="67"/>
        <v>1.05</v>
      </c>
      <c r="AB114">
        <f>IF(协调曲线图!$S$43="是，LCO绘图",IF((k0six/((POWER($A114,alfa06))-1)*(t0six/beta06))&gt;Lco瞬跳時間6,k0six/((POWER($A114,alfa06))-1)*(t0six/beta06),Lco瞬跳時間6)," ")</f>
        <v>0.76989203137664897</v>
      </c>
      <c r="AC114">
        <f t="shared" si="68"/>
        <v>5000</v>
      </c>
      <c r="AD114">
        <f t="shared" si="69"/>
        <v>300</v>
      </c>
    </row>
    <row r="115" spans="1:30">
      <c r="A115">
        <v>108</v>
      </c>
      <c r="B115">
        <f t="shared" si="54"/>
        <v>0.05</v>
      </c>
      <c r="C115">
        <f>IF(协调曲线图!$S$8="是，LCO绘图",IF((k0one/((POWER($A115,alfa01))-1)*(t0one/beta01))&gt;Lco瞬跳時間1,k0one/((POWER($A115,alfa01))-1)*(t0one/beta01),Lco瞬跳時間1)," ")</f>
        <v>0.24009057305018294</v>
      </c>
      <c r="D115">
        <f t="shared" si="70"/>
        <v>1050</v>
      </c>
      <c r="E115">
        <f t="shared" si="71"/>
        <v>150</v>
      </c>
      <c r="G115">
        <f t="shared" si="55"/>
        <v>0.25</v>
      </c>
      <c r="H115">
        <f>IF(协调曲线图!$S$15="是，LCO绘图",IF((k0two/((POWER($A115,alfa02))-1)*(t0two/beta02))&gt;Lco瞬跳時間2,k0two/((POWER($A115,alfa02))-1)*(t0two/beta02),Lco瞬跳時間2)," ")</f>
        <v>0.33612680227025615</v>
      </c>
      <c r="I115">
        <f t="shared" si="56"/>
        <v>1500</v>
      </c>
      <c r="J115">
        <f t="shared" si="57"/>
        <v>150</v>
      </c>
      <c r="L115">
        <f t="shared" si="58"/>
        <v>0.45</v>
      </c>
      <c r="M115">
        <f>IF(协调曲线图!$S$22="是，LCO绘图",IF((k0three/((POWER($A115,alfa03))-1)*(t0three/beta03))&gt;Lco瞬跳時間3,k0three/((POWER($A115,alfa03))-1)*(t0three/beta03),Lco瞬跳時間3)," ")</f>
        <v>0.43216303149032936</v>
      </c>
      <c r="N115">
        <f t="shared" si="59"/>
        <v>2000</v>
      </c>
      <c r="O115">
        <f t="shared" si="60"/>
        <v>150</v>
      </c>
      <c r="Q115">
        <f t="shared" si="61"/>
        <v>0.65</v>
      </c>
      <c r="R115">
        <f>IF(协调曲线图!$S$29="是，LCO绘图",IF((k0four/((POWER($A115,alfa04))-1)*(t0four/beta04))&gt;Lco瞬跳時間4,k0four/((POWER($A115,alfa04))-1)*(t0four/beta04),Lco瞬跳時間4)," ")</f>
        <v>0.52819926071040246</v>
      </c>
      <c r="S115">
        <f t="shared" si="62"/>
        <v>2500</v>
      </c>
      <c r="T115">
        <f t="shared" si="63"/>
        <v>150</v>
      </c>
      <c r="V115">
        <f t="shared" si="64"/>
        <v>0.85</v>
      </c>
      <c r="W115">
        <f>IF(协调曲线图!$S$36="是，LCO绘图",IF((k0five/((POWER($A115,alfa05))-1)*(t0five/beta05))&gt;Lco瞬跳時間5,k0five/((POWER($A115,alfa05))-1)*(t0five/beta05),Lco瞬跳時間5)," ")</f>
        <v>0.62423548993047573</v>
      </c>
      <c r="X115">
        <f t="shared" si="65"/>
        <v>3000</v>
      </c>
      <c r="Y115">
        <f t="shared" si="66"/>
        <v>150</v>
      </c>
      <c r="AA115">
        <f t="shared" si="67"/>
        <v>1.05</v>
      </c>
      <c r="AB115">
        <f>IF(协调曲线图!$S$43="是，LCO绘图",IF((k0six/((POWER($A115,alfa06))-1)*(t0six/beta06))&gt;Lco瞬跳時間6,k0six/((POWER($A115,alfa06))-1)*(t0six/beta06),Lco瞬跳時間6)," ")</f>
        <v>0.76828983376058546</v>
      </c>
      <c r="AC115">
        <f t="shared" si="68"/>
        <v>5000</v>
      </c>
      <c r="AD115">
        <f t="shared" si="69"/>
        <v>300</v>
      </c>
    </row>
    <row r="116" spans="1:30">
      <c r="A116">
        <v>109</v>
      </c>
      <c r="B116">
        <f t="shared" si="54"/>
        <v>0.05</v>
      </c>
      <c r="C116">
        <f>IF(协调曲线图!$S$8="是，LCO绘图",IF((k0one/((POWER($A116,alfa01))-1)*(t0one/beta01))&gt;Lco瞬跳時間1,k0one/((POWER($A116,alfa01))-1)*(t0one/beta01),Lco瞬跳時間1)," ")</f>
        <v>0.23959646065259133</v>
      </c>
      <c r="D116">
        <f t="shared" si="70"/>
        <v>1050</v>
      </c>
      <c r="E116">
        <f t="shared" si="71"/>
        <v>150</v>
      </c>
      <c r="G116">
        <f t="shared" si="55"/>
        <v>0.25</v>
      </c>
      <c r="H116">
        <f>IF(协调曲线图!$S$15="是，LCO绘图",IF((k0two/((POWER($A116,alfa02))-1)*(t0two/beta02))&gt;Lco瞬跳時間2,k0two/((POWER($A116,alfa02))-1)*(t0two/beta02),Lco瞬跳時間2)," ")</f>
        <v>0.33543504491362786</v>
      </c>
      <c r="I116">
        <f t="shared" si="56"/>
        <v>1500</v>
      </c>
      <c r="J116">
        <f t="shared" si="57"/>
        <v>150</v>
      </c>
      <c r="L116">
        <f t="shared" si="58"/>
        <v>0.45</v>
      </c>
      <c r="M116">
        <f>IF(协调曲线图!$S$22="是，LCO绘图",IF((k0three/((POWER($A116,alfa03))-1)*(t0three/beta03))&gt;Lco瞬跳時間3,k0three/((POWER($A116,alfa03))-1)*(t0three/beta03),Lco瞬跳時間3)," ")</f>
        <v>0.43127362917466444</v>
      </c>
      <c r="N116">
        <f t="shared" si="59"/>
        <v>2000</v>
      </c>
      <c r="O116">
        <f t="shared" si="60"/>
        <v>150</v>
      </c>
      <c r="Q116">
        <f t="shared" si="61"/>
        <v>0.65</v>
      </c>
      <c r="R116">
        <f>IF(协调曲线图!$S$29="是，LCO绘图",IF((k0four/((POWER($A116,alfa04))-1)*(t0four/beta04))&gt;Lco瞬跳時間4,k0four/((POWER($A116,alfa04))-1)*(t0four/beta04),Lco瞬跳時間4)," ")</f>
        <v>0.52711221343570092</v>
      </c>
      <c r="S116">
        <f t="shared" si="62"/>
        <v>2500</v>
      </c>
      <c r="T116">
        <f t="shared" si="63"/>
        <v>150</v>
      </c>
      <c r="V116">
        <f t="shared" si="64"/>
        <v>0.85</v>
      </c>
      <c r="W116">
        <f>IF(协调曲线图!$S$36="是，LCO绘图",IF((k0five/((POWER($A116,alfa05))-1)*(t0five/beta05))&gt;Lco瞬跳時間5,k0five/((POWER($A116,alfa05))-1)*(t0five/beta05),Lco瞬跳時間5)," ")</f>
        <v>0.62295079769673756</v>
      </c>
      <c r="X116">
        <f t="shared" si="65"/>
        <v>3000</v>
      </c>
      <c r="Y116">
        <f t="shared" si="66"/>
        <v>150</v>
      </c>
      <c r="AA116">
        <f t="shared" si="67"/>
        <v>1.05</v>
      </c>
      <c r="AB116">
        <f>IF(协调曲线图!$S$43="是，LCO绘图",IF((k0six/((POWER($A116,alfa06))-1)*(t0six/beta06))&gt;Lco瞬跳時間6,k0six/((POWER($A116,alfa06))-1)*(t0six/beta06),Lco瞬跳時間6)," ")</f>
        <v>0.76670867408829235</v>
      </c>
      <c r="AC116">
        <f t="shared" si="68"/>
        <v>5000</v>
      </c>
      <c r="AD116">
        <f t="shared" si="69"/>
        <v>300</v>
      </c>
    </row>
    <row r="117" spans="1:30">
      <c r="A117">
        <v>110</v>
      </c>
      <c r="B117">
        <f t="shared" si="54"/>
        <v>0.05</v>
      </c>
      <c r="C117">
        <f>IF(协调曲线图!$S$8="是，LCO绘图",IF((k0one/((POWER($A117,alfa01))-1)*(t0one/beta01))&gt;Lco瞬跳時間1,k0one/((POWER($A117,alfa01))-1)*(t0one/beta01),Lco瞬跳時間1)," ")</f>
        <v>0.23910877339709119</v>
      </c>
      <c r="D117">
        <f t="shared" si="70"/>
        <v>1050</v>
      </c>
      <c r="E117">
        <f t="shared" si="71"/>
        <v>150</v>
      </c>
      <c r="G117">
        <f t="shared" si="55"/>
        <v>0.25</v>
      </c>
      <c r="H117">
        <f>IF(协调曲线图!$S$15="是，LCO绘图",IF((k0two/((POWER($A117,alfa02))-1)*(t0two/beta02))&gt;Lco瞬跳時間2,k0two/((POWER($A117,alfa02))-1)*(t0two/beta02),Lco瞬跳時間2)," ")</f>
        <v>0.33475228275592767</v>
      </c>
      <c r="I117">
        <f t="shared" si="56"/>
        <v>1500</v>
      </c>
      <c r="J117">
        <f t="shared" si="57"/>
        <v>150</v>
      </c>
      <c r="L117">
        <f t="shared" si="58"/>
        <v>0.45</v>
      </c>
      <c r="M117">
        <f>IF(协调曲线图!$S$22="是，LCO绘图",IF((k0three/((POWER($A117,alfa03))-1)*(t0three/beta03))&gt;Lco瞬跳時間3,k0three/((POWER($A117,alfa03))-1)*(t0three/beta03),Lco瞬跳時間3)," ")</f>
        <v>0.4303957921147642</v>
      </c>
      <c r="N117">
        <f t="shared" si="59"/>
        <v>2000</v>
      </c>
      <c r="O117">
        <f t="shared" si="60"/>
        <v>150</v>
      </c>
      <c r="Q117">
        <f t="shared" si="61"/>
        <v>0.65</v>
      </c>
      <c r="R117">
        <f>IF(协调曲线图!$S$29="是，LCO绘图",IF((k0four/((POWER($A117,alfa04))-1)*(t0four/beta04))&gt;Lco瞬跳時間4,k0four/((POWER($A117,alfa04))-1)*(t0four/beta04),Lco瞬跳時間4)," ")</f>
        <v>0.52603930147360067</v>
      </c>
      <c r="S117">
        <f t="shared" si="62"/>
        <v>2500</v>
      </c>
      <c r="T117">
        <f t="shared" si="63"/>
        <v>150</v>
      </c>
      <c r="V117">
        <f t="shared" si="64"/>
        <v>0.85</v>
      </c>
      <c r="W117">
        <f>IF(协调曲线图!$S$36="是，LCO绘图",IF((k0five/((POWER($A117,alfa05))-1)*(t0five/beta05))&gt;Lco瞬跳時間5,k0five/((POWER($A117,alfa05))-1)*(t0five/beta05),Lco瞬跳時間5)," ")</f>
        <v>0.62168281083243715</v>
      </c>
      <c r="X117">
        <f t="shared" si="65"/>
        <v>3000</v>
      </c>
      <c r="Y117">
        <f t="shared" si="66"/>
        <v>150</v>
      </c>
      <c r="AA117">
        <f t="shared" si="67"/>
        <v>1.05</v>
      </c>
      <c r="AB117">
        <f>IF(协调曲线图!$S$43="是，LCO绘图",IF((k0six/((POWER($A117,alfa06))-1)*(t0six/beta06))&gt;Lco瞬跳時間6,k0six/((POWER($A117,alfa06))-1)*(t0six/beta06),Lco瞬跳時間6)," ")</f>
        <v>0.76514807487069192</v>
      </c>
      <c r="AC117">
        <f t="shared" si="68"/>
        <v>5000</v>
      </c>
      <c r="AD117">
        <f t="shared" si="69"/>
        <v>300</v>
      </c>
    </row>
    <row r="118" spans="1:30">
      <c r="A118">
        <v>111</v>
      </c>
      <c r="B118">
        <f t="shared" si="54"/>
        <v>0.05</v>
      </c>
      <c r="C118">
        <f>IF(协调曲线图!$S$8="是，LCO绘图",IF((k0one/((POWER($A118,alfa01))-1)*(t0one/beta01))&gt;Lco瞬跳時間1,k0one/((POWER($A118,alfa01))-1)*(t0one/beta01),Lco瞬跳時間1)," ")</f>
        <v>0.2386273668318048</v>
      </c>
      <c r="D118">
        <f t="shared" si="70"/>
        <v>1050</v>
      </c>
      <c r="E118">
        <f t="shared" si="71"/>
        <v>150</v>
      </c>
      <c r="G118">
        <f t="shared" si="55"/>
        <v>0.25</v>
      </c>
      <c r="H118">
        <f>IF(协调曲线图!$S$15="是，LCO绘图",IF((k0two/((POWER($A118,alfa02))-1)*(t0two/beta02))&gt;Lco瞬跳時間2,k0two/((POWER($A118,alfa02))-1)*(t0two/beta02),Lco瞬跳時間2)," ")</f>
        <v>0.33407831356452672</v>
      </c>
      <c r="I118">
        <f t="shared" si="56"/>
        <v>1500</v>
      </c>
      <c r="J118">
        <f t="shared" si="57"/>
        <v>150</v>
      </c>
      <c r="L118">
        <f t="shared" si="58"/>
        <v>0.45</v>
      </c>
      <c r="M118">
        <f>IF(协调曲线图!$S$22="是，LCO绘图",IF((k0three/((POWER($A118,alfa03))-1)*(t0three/beta03))&gt;Lco瞬跳時間3,k0three/((POWER($A118,alfa03))-1)*(t0three/beta03),Lco瞬跳時間3)," ")</f>
        <v>0.42952926029724869</v>
      </c>
      <c r="N118">
        <f t="shared" si="59"/>
        <v>2000</v>
      </c>
      <c r="O118">
        <f t="shared" si="60"/>
        <v>150</v>
      </c>
      <c r="Q118">
        <f t="shared" si="61"/>
        <v>0.65</v>
      </c>
      <c r="R118">
        <f>IF(协调曲线图!$S$29="是，LCO绘图",IF((k0four/((POWER($A118,alfa04))-1)*(t0four/beta04))&gt;Lco瞬跳時間4,k0four/((POWER($A118,alfa04))-1)*(t0four/beta04),Lco瞬跳時間4)," ")</f>
        <v>0.52498020702997061</v>
      </c>
      <c r="S118">
        <f t="shared" si="62"/>
        <v>2500</v>
      </c>
      <c r="T118">
        <f t="shared" si="63"/>
        <v>150</v>
      </c>
      <c r="V118">
        <f t="shared" si="64"/>
        <v>0.85</v>
      </c>
      <c r="W118">
        <f>IF(协调曲线图!$S$36="是，LCO绘图",IF((k0five/((POWER($A118,alfa05))-1)*(t0five/beta05))&gt;Lco瞬跳時間5,k0five/((POWER($A118,alfa05))-1)*(t0five/beta05),Lco瞬跳時間5)," ")</f>
        <v>0.62043115376269253</v>
      </c>
      <c r="X118">
        <f t="shared" si="65"/>
        <v>3000</v>
      </c>
      <c r="Y118">
        <f t="shared" si="66"/>
        <v>150</v>
      </c>
      <c r="AA118">
        <f t="shared" si="67"/>
        <v>1.05</v>
      </c>
      <c r="AB118">
        <f>IF(协调曲线图!$S$43="是，LCO绘图",IF((k0six/((POWER($A118,alfa06))-1)*(t0six/beta06))&gt;Lco瞬跳時間6,k0six/((POWER($A118,alfa06))-1)*(t0six/beta06),Lco瞬跳時間6)," ")</f>
        <v>0.76360757386177547</v>
      </c>
      <c r="AC118">
        <f t="shared" si="68"/>
        <v>5000</v>
      </c>
      <c r="AD118">
        <f t="shared" si="69"/>
        <v>300</v>
      </c>
    </row>
    <row r="119" spans="1:30">
      <c r="A119">
        <v>112</v>
      </c>
      <c r="B119">
        <f t="shared" si="54"/>
        <v>0.05</v>
      </c>
      <c r="C119">
        <f>IF(协调曲线图!$S$8="是，LCO绘图",IF((k0one/((POWER($A119,alfa01))-1)*(t0one/beta01))&gt;Lco瞬跳時間1,k0one/((POWER($A119,alfa01))-1)*(t0one/beta01),Lco瞬跳時間1)," ")</f>
        <v>0.23815210107345045</v>
      </c>
      <c r="D119">
        <f t="shared" si="70"/>
        <v>1050</v>
      </c>
      <c r="E119">
        <f t="shared" si="71"/>
        <v>150</v>
      </c>
      <c r="G119">
        <f t="shared" si="55"/>
        <v>0.25</v>
      </c>
      <c r="H119">
        <f>IF(协调曲线图!$S$15="是，LCO绘图",IF((k0two/((POWER($A119,alfa02))-1)*(t0two/beta02))&gt;Lco瞬跳時間2,k0two/((POWER($A119,alfa02))-1)*(t0two/beta02),Lco瞬跳時間2)," ")</f>
        <v>0.33341294150283063</v>
      </c>
      <c r="I119">
        <f t="shared" si="56"/>
        <v>1500</v>
      </c>
      <c r="J119">
        <f t="shared" si="57"/>
        <v>150</v>
      </c>
      <c r="L119">
        <f t="shared" si="58"/>
        <v>0.45</v>
      </c>
      <c r="M119">
        <f>IF(协调曲线图!$S$22="是，LCO绘图",IF((k0three/((POWER($A119,alfa03))-1)*(t0three/beta03))&gt;Lco瞬跳時間3,k0three/((POWER($A119,alfa03))-1)*(t0three/beta03),Lco瞬跳時間3)," ")</f>
        <v>0.42867378193221084</v>
      </c>
      <c r="N119">
        <f t="shared" si="59"/>
        <v>2000</v>
      </c>
      <c r="O119">
        <f t="shared" si="60"/>
        <v>150</v>
      </c>
      <c r="Q119">
        <f t="shared" si="61"/>
        <v>0.65</v>
      </c>
      <c r="R119">
        <f>IF(协调曲线图!$S$29="是，LCO绘图",IF((k0four/((POWER($A119,alfa04))-1)*(t0four/beta04))&gt;Lco瞬跳時間4,k0four/((POWER($A119,alfa04))-1)*(t0four/beta04),Lco瞬跳時間4)," ")</f>
        <v>0.52393462236159105</v>
      </c>
      <c r="S119">
        <f t="shared" si="62"/>
        <v>2500</v>
      </c>
      <c r="T119">
        <f t="shared" si="63"/>
        <v>150</v>
      </c>
      <c r="V119">
        <f t="shared" si="64"/>
        <v>0.85</v>
      </c>
      <c r="W119">
        <f>IF(协调曲线图!$S$36="是，LCO绘图",IF((k0five/((POWER($A119,alfa05))-1)*(t0five/beta05))&gt;Lco瞬跳時間5,k0five/((POWER($A119,alfa05))-1)*(t0five/beta05),Lco瞬跳時間5)," ")</f>
        <v>0.61919546279097126</v>
      </c>
      <c r="X119">
        <f t="shared" si="65"/>
        <v>3000</v>
      </c>
      <c r="Y119">
        <f t="shared" si="66"/>
        <v>150</v>
      </c>
      <c r="AA119">
        <f t="shared" si="67"/>
        <v>1.05</v>
      </c>
      <c r="AB119">
        <f>IF(协调曲线图!$S$43="是，LCO绘图",IF((k0six/((POWER($A119,alfa06))-1)*(t0six/beta06))&gt;Lco瞬跳時間6,k0six/((POWER($A119,alfa06))-1)*(t0six/beta06),Lco瞬跳時間6)," ")</f>
        <v>0.76208672343504147</v>
      </c>
      <c r="AC119">
        <f t="shared" si="68"/>
        <v>5000</v>
      </c>
      <c r="AD119">
        <f t="shared" si="69"/>
        <v>300</v>
      </c>
    </row>
    <row r="120" spans="1:30">
      <c r="A120">
        <v>113</v>
      </c>
      <c r="B120">
        <f t="shared" si="54"/>
        <v>0.05</v>
      </c>
      <c r="C120">
        <f>IF(协调曲线图!$S$8="是，LCO绘图",IF((k0one/((POWER($A120,alfa01))-1)*(t0one/beta01))&gt;Lco瞬跳時間1,k0one/((POWER($A120,alfa01))-1)*(t0one/beta01),Lco瞬跳時間1)," ")</f>
        <v>0.23768284062216516</v>
      </c>
      <c r="D120">
        <f t="shared" si="70"/>
        <v>1050</v>
      </c>
      <c r="E120">
        <f t="shared" si="71"/>
        <v>150</v>
      </c>
      <c r="G120">
        <f t="shared" si="55"/>
        <v>0.25</v>
      </c>
      <c r="H120">
        <f>IF(协调曲线图!$S$15="是，LCO绘图",IF((k0two/((POWER($A120,alfa02))-1)*(t0two/beta02))&gt;Lco瞬跳時間2,k0two/((POWER($A120,alfa02))-1)*(t0two/beta02),Lco瞬跳時間2)," ")</f>
        <v>0.33275597687103126</v>
      </c>
      <c r="I120">
        <f t="shared" si="56"/>
        <v>1500</v>
      </c>
      <c r="J120">
        <f t="shared" si="57"/>
        <v>150</v>
      </c>
      <c r="L120">
        <f t="shared" si="58"/>
        <v>0.45</v>
      </c>
      <c r="M120">
        <f>IF(协调曲线图!$S$22="是，LCO绘图",IF((k0three/((POWER($A120,alfa03))-1)*(t0three/beta03))&gt;Lco瞬跳時間3,k0three/((POWER($A120,alfa03))-1)*(t0three/beta03),Lco瞬跳時間3)," ")</f>
        <v>0.42782911311989735</v>
      </c>
      <c r="N120">
        <f t="shared" si="59"/>
        <v>2000</v>
      </c>
      <c r="O120">
        <f t="shared" si="60"/>
        <v>150</v>
      </c>
      <c r="Q120">
        <f t="shared" si="61"/>
        <v>0.65</v>
      </c>
      <c r="R120">
        <f>IF(协调曲线图!$S$29="是，LCO绘图",IF((k0four/((POWER($A120,alfa04))-1)*(t0four/beta04))&gt;Lco瞬跳時間4,k0four/((POWER($A120,alfa04))-1)*(t0four/beta04),Lco瞬跳時間4)," ")</f>
        <v>0.52290224936876339</v>
      </c>
      <c r="S120">
        <f t="shared" si="62"/>
        <v>2500</v>
      </c>
      <c r="T120">
        <f t="shared" si="63"/>
        <v>150</v>
      </c>
      <c r="V120">
        <f t="shared" si="64"/>
        <v>0.85</v>
      </c>
      <c r="W120">
        <f>IF(协调曲线图!$S$36="是，LCO绘图",IF((k0five/((POWER($A120,alfa05))-1)*(t0five/beta05))&gt;Lco瞬跳時間5,k0five/((POWER($A120,alfa05))-1)*(t0five/beta05),Lco瞬跳時間5)," ")</f>
        <v>0.61797538561762944</v>
      </c>
      <c r="X120">
        <f t="shared" si="65"/>
        <v>3000</v>
      </c>
      <c r="Y120">
        <f t="shared" si="66"/>
        <v>150</v>
      </c>
      <c r="AA120">
        <f t="shared" si="67"/>
        <v>1.05</v>
      </c>
      <c r="AB120">
        <f>IF(协调曲线图!$S$43="是，LCO绘图",IF((k0six/((POWER($A120,alfa06))-1)*(t0six/beta06))&gt;Lco瞬跳時間6,k0six/((POWER($A120,alfa06))-1)*(t0six/beta06),Lco瞬跳時間6)," ")</f>
        <v>0.76058508999092855</v>
      </c>
      <c r="AC120">
        <f t="shared" si="68"/>
        <v>5000</v>
      </c>
      <c r="AD120">
        <f t="shared" si="69"/>
        <v>300</v>
      </c>
    </row>
    <row r="121" spans="1:30">
      <c r="A121">
        <v>114</v>
      </c>
      <c r="B121">
        <f t="shared" si="54"/>
        <v>0.05</v>
      </c>
      <c r="C121">
        <f>IF(协调曲线图!$S$8="是，LCO绘图",IF((k0one/((POWER($A121,alfa01))-1)*(t0one/beta01))&gt;Lco瞬跳時間1,k0one/((POWER($A121,alfa01))-1)*(t0one/beta01),Lco瞬跳時間1)," ")</f>
        <v>0.23721945418544074</v>
      </c>
      <c r="D121">
        <f t="shared" si="70"/>
        <v>1050</v>
      </c>
      <c r="E121">
        <f t="shared" si="71"/>
        <v>150</v>
      </c>
      <c r="G121">
        <f t="shared" si="55"/>
        <v>0.25</v>
      </c>
      <c r="H121">
        <f>IF(协调曲线图!$S$15="是，LCO绘图",IF((k0two/((POWER($A121,alfa02))-1)*(t0two/beta02))&gt;Lco瞬跳時間2,k0two/((POWER($A121,alfa02))-1)*(t0two/beta02),Lco瞬跳時間2)," ")</f>
        <v>0.33210723585961704</v>
      </c>
      <c r="I121">
        <f t="shared" si="56"/>
        <v>1500</v>
      </c>
      <c r="J121">
        <f t="shared" si="57"/>
        <v>150</v>
      </c>
      <c r="L121">
        <f t="shared" si="58"/>
        <v>0.45</v>
      </c>
      <c r="M121">
        <f>IF(协调曲线图!$S$22="是，LCO绘图",IF((k0three/((POWER($A121,alfa03))-1)*(t0three/beta03))&gt;Lco瞬跳時間3,k0three/((POWER($A121,alfa03))-1)*(t0three/beta03),Lco瞬跳時間3)," ")</f>
        <v>0.42699501753379338</v>
      </c>
      <c r="N121">
        <f t="shared" si="59"/>
        <v>2000</v>
      </c>
      <c r="O121">
        <f t="shared" si="60"/>
        <v>150</v>
      </c>
      <c r="Q121">
        <f t="shared" si="61"/>
        <v>0.65</v>
      </c>
      <c r="R121">
        <f>IF(协调曲线图!$S$29="是，LCO绘图",IF((k0four/((POWER($A121,alfa04))-1)*(t0four/beta04))&gt;Lco瞬跳時間4,k0four/((POWER($A121,alfa04))-1)*(t0four/beta04),Lco瞬跳時間4)," ")</f>
        <v>0.52188279920796965</v>
      </c>
      <c r="S121">
        <f t="shared" si="62"/>
        <v>2500</v>
      </c>
      <c r="T121">
        <f t="shared" si="63"/>
        <v>150</v>
      </c>
      <c r="V121">
        <f t="shared" si="64"/>
        <v>0.85</v>
      </c>
      <c r="W121">
        <f>IF(协调曲线图!$S$36="是，LCO绘图",IF((k0five/((POWER($A121,alfa05))-1)*(t0five/beta05))&gt;Lco瞬跳時間5,k0five/((POWER($A121,alfa05))-1)*(t0five/beta05),Lco瞬跳時間5)," ")</f>
        <v>0.61677058088214598</v>
      </c>
      <c r="X121">
        <f t="shared" si="65"/>
        <v>3000</v>
      </c>
      <c r="Y121">
        <f t="shared" si="66"/>
        <v>150</v>
      </c>
      <c r="AA121">
        <f t="shared" si="67"/>
        <v>1.05</v>
      </c>
      <c r="AB121">
        <f>IF(协调曲线图!$S$43="是，LCO绘图",IF((k0six/((POWER($A121,alfa06))-1)*(t0six/beta06))&gt;Lco瞬跳時間6,k0six/((POWER($A121,alfa06))-1)*(t0six/beta06),Lco瞬跳時間6)," ")</f>
        <v>0.75910225339341042</v>
      </c>
      <c r="AC121">
        <f t="shared" si="68"/>
        <v>5000</v>
      </c>
      <c r="AD121">
        <f t="shared" si="69"/>
        <v>300</v>
      </c>
    </row>
    <row r="122" spans="1:30">
      <c r="A122">
        <v>115</v>
      </c>
      <c r="B122">
        <f t="shared" si="54"/>
        <v>0.05</v>
      </c>
      <c r="C122">
        <f>IF(协调曲线图!$S$8="是，LCO绘图",IF((k0one/((POWER($A122,alfa01))-1)*(t0one/beta01))&gt;Lco瞬跳時間1,k0one/((POWER($A122,alfa01))-1)*(t0one/beta01),Lco瞬跳時間1)," ")</f>
        <v>0.23676181451065317</v>
      </c>
      <c r="D122">
        <f t="shared" si="70"/>
        <v>1050</v>
      </c>
      <c r="E122">
        <f t="shared" si="71"/>
        <v>150</v>
      </c>
      <c r="G122">
        <f t="shared" si="55"/>
        <v>0.25</v>
      </c>
      <c r="H122">
        <f>IF(协调曲线图!$S$15="是，LCO绘图",IF((k0two/((POWER($A122,alfa02))-1)*(t0two/beta02))&gt;Lco瞬跳時間2,k0two/((POWER($A122,alfa02))-1)*(t0two/beta02),Lco瞬跳時間2)," ")</f>
        <v>0.33146654031491446</v>
      </c>
      <c r="I122">
        <f t="shared" si="56"/>
        <v>1500</v>
      </c>
      <c r="J122">
        <f t="shared" si="57"/>
        <v>150</v>
      </c>
      <c r="L122">
        <f t="shared" si="58"/>
        <v>0.45</v>
      </c>
      <c r="M122">
        <f>IF(协调曲线图!$S$22="是，LCO绘图",IF((k0three/((POWER($A122,alfa03))-1)*(t0three/beta03))&gt;Lco瞬跳時間3,k0three/((POWER($A122,alfa03))-1)*(t0three/beta03),Lco瞬跳時間3)," ")</f>
        <v>0.42617126611917577</v>
      </c>
      <c r="N122">
        <f t="shared" si="59"/>
        <v>2000</v>
      </c>
      <c r="O122">
        <f t="shared" si="60"/>
        <v>150</v>
      </c>
      <c r="Q122">
        <f t="shared" si="61"/>
        <v>0.65</v>
      </c>
      <c r="R122">
        <f>IF(协调曲线图!$S$29="是，LCO绘图",IF((k0four/((POWER($A122,alfa04))-1)*(t0four/beta04))&gt;Lco瞬跳時間4,k0four/((POWER($A122,alfa04))-1)*(t0four/beta04),Lco瞬跳時間4)," ")</f>
        <v>0.52087599192343703</v>
      </c>
      <c r="S122">
        <f t="shared" si="62"/>
        <v>2500</v>
      </c>
      <c r="T122">
        <f t="shared" si="63"/>
        <v>150</v>
      </c>
      <c r="V122">
        <f t="shared" si="64"/>
        <v>0.85</v>
      </c>
      <c r="W122">
        <f>IF(协调曲线图!$S$36="是，LCO绘图",IF((k0five/((POWER($A122,alfa05))-1)*(t0five/beta05))&gt;Lco瞬跳時間5,k0five/((POWER($A122,alfa05))-1)*(t0five/beta05),Lco瞬跳時間5)," ")</f>
        <v>0.61558071772769829</v>
      </c>
      <c r="X122">
        <f t="shared" si="65"/>
        <v>3000</v>
      </c>
      <c r="Y122">
        <f t="shared" si="66"/>
        <v>150</v>
      </c>
      <c r="AA122">
        <f t="shared" si="67"/>
        <v>1.05</v>
      </c>
      <c r="AB122">
        <f>IF(协调曲线图!$S$43="是，LCO绘图",IF((k0six/((POWER($A122,alfa06))-1)*(t0six/beta06))&gt;Lco瞬跳時間6,k0six/((POWER($A122,alfa06))-1)*(t0six/beta06),Lco瞬跳時間6)," ")</f>
        <v>0.75763780643409018</v>
      </c>
      <c r="AC122">
        <f t="shared" si="68"/>
        <v>5000</v>
      </c>
      <c r="AD122">
        <f t="shared" si="69"/>
        <v>300</v>
      </c>
    </row>
    <row r="123" spans="1:30">
      <c r="A123">
        <v>116</v>
      </c>
      <c r="B123">
        <f t="shared" si="54"/>
        <v>0.05</v>
      </c>
      <c r="C123">
        <f>IF(协调曲线图!$S$8="是，LCO绘图",IF((k0one/((POWER($A123,alfa01))-1)*(t0one/beta01))&gt;Lco瞬跳時間1,k0one/((POWER($A123,alfa01))-1)*(t0one/beta01),Lco瞬跳時間1)," ")</f>
        <v>0.23630979822569256</v>
      </c>
      <c r="D123">
        <f t="shared" si="70"/>
        <v>1050</v>
      </c>
      <c r="E123">
        <f t="shared" si="71"/>
        <v>150</v>
      </c>
      <c r="G123">
        <f t="shared" si="55"/>
        <v>0.25</v>
      </c>
      <c r="H123">
        <f>IF(协调曲线图!$S$15="是，LCO绘图",IF((k0two/((POWER($A123,alfa02))-1)*(t0two/beta02))&gt;Lco瞬跳時間2,k0two/((POWER($A123,alfa02))-1)*(t0two/beta02),Lco瞬跳時間2)," ")</f>
        <v>0.33083371751596963</v>
      </c>
      <c r="I123">
        <f t="shared" si="56"/>
        <v>1500</v>
      </c>
      <c r="J123">
        <f t="shared" si="57"/>
        <v>150</v>
      </c>
      <c r="L123">
        <f t="shared" si="58"/>
        <v>0.45</v>
      </c>
      <c r="M123">
        <f>IF(协调曲线图!$S$22="是，LCO绘图",IF((k0three/((POWER($A123,alfa03))-1)*(t0three/beta03))&gt;Lco瞬跳時間3,k0three/((POWER($A123,alfa03))-1)*(t0three/beta03),Lco瞬跳時間3)," ")</f>
        <v>0.42535763680624666</v>
      </c>
      <c r="N123">
        <f t="shared" si="59"/>
        <v>2000</v>
      </c>
      <c r="O123">
        <f t="shared" si="60"/>
        <v>150</v>
      </c>
      <c r="Q123">
        <f t="shared" si="61"/>
        <v>0.65</v>
      </c>
      <c r="R123">
        <f>IF(协调曲线图!$S$29="是，LCO绘图",IF((k0four/((POWER($A123,alfa04))-1)*(t0four/beta04))&gt;Lco瞬跳時間4,k0four/((POWER($A123,alfa04))-1)*(t0four/beta04),Lco瞬跳時間4)," ")</f>
        <v>0.51988155609652364</v>
      </c>
      <c r="S123">
        <f t="shared" si="62"/>
        <v>2500</v>
      </c>
      <c r="T123">
        <f t="shared" si="63"/>
        <v>150</v>
      </c>
      <c r="V123">
        <f t="shared" si="64"/>
        <v>0.85</v>
      </c>
      <c r="W123">
        <f>IF(协调曲线图!$S$36="是，LCO绘图",IF((k0five/((POWER($A123,alfa05))-1)*(t0five/beta05))&gt;Lco瞬跳時間5,k0five/((POWER($A123,alfa05))-1)*(t0five/beta05),Lco瞬跳時間5)," ")</f>
        <v>0.61440547538680079</v>
      </c>
      <c r="X123">
        <f t="shared" si="65"/>
        <v>3000</v>
      </c>
      <c r="Y123">
        <f t="shared" si="66"/>
        <v>150</v>
      </c>
      <c r="AA123">
        <f t="shared" si="67"/>
        <v>1.05</v>
      </c>
      <c r="AB123">
        <f>IF(协调曲线图!$S$43="是，LCO绘图",IF((k0six/((POWER($A123,alfa06))-1)*(t0six/beta06))&gt;Lco瞬跳時間6,k0six/((POWER($A123,alfa06))-1)*(t0six/beta06),Lco瞬跳時間6)," ")</f>
        <v>0.75619135432221629</v>
      </c>
      <c r="AC123">
        <f t="shared" si="68"/>
        <v>5000</v>
      </c>
      <c r="AD123">
        <f t="shared" si="69"/>
        <v>300</v>
      </c>
    </row>
    <row r="124" spans="1:30">
      <c r="A124">
        <v>117</v>
      </c>
      <c r="B124">
        <f t="shared" si="54"/>
        <v>0.05</v>
      </c>
      <c r="C124">
        <f>IF(协调曲线图!$S$8="是，LCO绘图",IF((k0one/((POWER($A124,alfa01))-1)*(t0one/beta01))&gt;Lco瞬跳時間1,k0one/((POWER($A124,alfa01))-1)*(t0one/beta01),Lco瞬跳時間1)," ")</f>
        <v>0.23586328568722814</v>
      </c>
      <c r="D124">
        <f t="shared" si="70"/>
        <v>1050</v>
      </c>
      <c r="E124">
        <f t="shared" si="71"/>
        <v>150</v>
      </c>
      <c r="G124">
        <f t="shared" si="55"/>
        <v>0.25</v>
      </c>
      <c r="H124">
        <f>IF(协调曲线图!$S$15="是，LCO绘图",IF((k0two/((POWER($A124,alfa02))-1)*(t0two/beta02))&gt;Lco瞬跳時間2,k0two/((POWER($A124,alfa02))-1)*(t0two/beta02),Lco瞬跳時間2)," ")</f>
        <v>0.33020859996211943</v>
      </c>
      <c r="I124">
        <f t="shared" si="56"/>
        <v>1500</v>
      </c>
      <c r="J124">
        <f t="shared" si="57"/>
        <v>150</v>
      </c>
      <c r="L124">
        <f t="shared" si="58"/>
        <v>0.45</v>
      </c>
      <c r="M124">
        <f>IF(协调曲线图!$S$22="是，LCO绘图",IF((k0three/((POWER($A124,alfa03))-1)*(t0three/beta03))&gt;Lco瞬跳時間3,k0three/((POWER($A124,alfa03))-1)*(t0three/beta03),Lco瞬跳時間3)," ")</f>
        <v>0.42455391423701072</v>
      </c>
      <c r="N124">
        <f t="shared" si="59"/>
        <v>2000</v>
      </c>
      <c r="O124">
        <f t="shared" si="60"/>
        <v>150</v>
      </c>
      <c r="Q124">
        <f t="shared" si="61"/>
        <v>0.65</v>
      </c>
      <c r="R124">
        <f>IF(协调曲线图!$S$29="是，LCO绘图",IF((k0four/((POWER($A124,alfa04))-1)*(t0four/beta04))&gt;Lco瞬跳時間4,k0four/((POWER($A124,alfa04))-1)*(t0four/beta04),Lco瞬跳時間4)," ")</f>
        <v>0.51889922851190196</v>
      </c>
      <c r="S124">
        <f t="shared" si="62"/>
        <v>2500</v>
      </c>
      <c r="T124">
        <f t="shared" si="63"/>
        <v>150</v>
      </c>
      <c r="V124">
        <f t="shared" si="64"/>
        <v>0.85</v>
      </c>
      <c r="W124">
        <f>IF(协调曲线图!$S$36="是，LCO绘图",IF((k0five/((POWER($A124,alfa05))-1)*(t0five/beta05))&gt;Lco瞬跳時間5,k0five/((POWER($A124,alfa05))-1)*(t0five/beta05),Lco瞬跳時間5)," ")</f>
        <v>0.6132445427867933</v>
      </c>
      <c r="X124">
        <f t="shared" si="65"/>
        <v>3000</v>
      </c>
      <c r="Y124">
        <f t="shared" si="66"/>
        <v>150</v>
      </c>
      <c r="AA124">
        <f t="shared" si="67"/>
        <v>1.05</v>
      </c>
      <c r="AB124">
        <f>IF(协调曲线图!$S$43="是，LCO绘图",IF((k0six/((POWER($A124,alfa06))-1)*(t0six/beta06))&gt;Lco瞬跳時間6,k0six/((POWER($A124,alfa06))-1)*(t0six/beta06),Lco瞬跳時間6)," ")</f>
        <v>0.7547625141991301</v>
      </c>
      <c r="AC124">
        <f t="shared" si="68"/>
        <v>5000</v>
      </c>
      <c r="AD124">
        <f t="shared" si="69"/>
        <v>300</v>
      </c>
    </row>
    <row r="125" spans="1:30">
      <c r="A125">
        <v>118</v>
      </c>
      <c r="B125">
        <f t="shared" si="54"/>
        <v>0.05</v>
      </c>
      <c r="C125">
        <f>IF(协调曲线图!$S$8="是，LCO绘图",IF((k0one/((POWER($A125,alfa01))-1)*(t0one/beta01))&gt;Lco瞬跳時間1,k0one/((POWER($A125,alfa01))-1)*(t0one/beta01),Lco瞬跳時間1)," ")</f>
        <v>0.23542216083618775</v>
      </c>
      <c r="D125">
        <f t="shared" si="70"/>
        <v>1050</v>
      </c>
      <c r="E125">
        <f t="shared" si="71"/>
        <v>150</v>
      </c>
      <c r="G125">
        <f t="shared" si="55"/>
        <v>0.25</v>
      </c>
      <c r="H125">
        <f>IF(协调曲线图!$S$15="是，LCO绘图",IF((k0two/((POWER($A125,alfa02))-1)*(t0two/beta02))&gt;Lco瞬跳時間2,k0two/((POWER($A125,alfa02))-1)*(t0two/beta02),Lco瞬跳時間2)," ")</f>
        <v>0.32959102517066285</v>
      </c>
      <c r="I125">
        <f t="shared" si="56"/>
        <v>1500</v>
      </c>
      <c r="J125">
        <f t="shared" si="57"/>
        <v>150</v>
      </c>
      <c r="L125">
        <f t="shared" si="58"/>
        <v>0.45</v>
      </c>
      <c r="M125">
        <f>IF(协调曲线图!$S$22="是，LCO绘图",IF((k0three/((POWER($A125,alfa03))-1)*(t0three/beta03))&gt;Lco瞬跳時間3,k0three/((POWER($A125,alfa03))-1)*(t0three/beta03),Lco瞬跳時間3)," ")</f>
        <v>0.42375988950513804</v>
      </c>
      <c r="N125">
        <f t="shared" si="59"/>
        <v>2000</v>
      </c>
      <c r="O125">
        <f t="shared" si="60"/>
        <v>150</v>
      </c>
      <c r="Q125">
        <f t="shared" si="61"/>
        <v>0.65</v>
      </c>
      <c r="R125">
        <f>IF(协调曲线图!$S$29="是，LCO绘图",IF((k0four/((POWER($A125,alfa04))-1)*(t0four/beta04))&gt;Lco瞬跳時間4,k0four/((POWER($A125,alfa04))-1)*(t0four/beta04),Lco瞬跳時間4)," ")</f>
        <v>0.51792875383961312</v>
      </c>
      <c r="S125">
        <f t="shared" si="62"/>
        <v>2500</v>
      </c>
      <c r="T125">
        <f t="shared" si="63"/>
        <v>150</v>
      </c>
      <c r="V125">
        <f t="shared" si="64"/>
        <v>0.85</v>
      </c>
      <c r="W125">
        <f>IF(协调曲线图!$S$36="是，LCO绘图",IF((k0five/((POWER($A125,alfa05))-1)*(t0five/beta05))&gt;Lco瞬跳時間5,k0five/((POWER($A125,alfa05))-1)*(t0five/beta05),Lco瞬跳時間5)," ")</f>
        <v>0.61209761817408825</v>
      </c>
      <c r="X125">
        <f t="shared" si="65"/>
        <v>3000</v>
      </c>
      <c r="Y125">
        <f t="shared" si="66"/>
        <v>150</v>
      </c>
      <c r="AA125">
        <f t="shared" si="67"/>
        <v>1.05</v>
      </c>
      <c r="AB125">
        <f>IF(协调曲线图!$S$43="是，LCO绘图",IF((k0six/((POWER($A125,alfa06))-1)*(t0six/beta06))&gt;Lco瞬跳時間6,k0six/((POWER($A125,alfa06))-1)*(t0six/beta06),Lco瞬跳時間6)," ")</f>
        <v>0.75335091467580095</v>
      </c>
      <c r="AC125">
        <f t="shared" si="68"/>
        <v>5000</v>
      </c>
      <c r="AD125">
        <f t="shared" si="69"/>
        <v>300</v>
      </c>
    </row>
    <row r="126" spans="1:30">
      <c r="A126">
        <v>119</v>
      </c>
      <c r="B126">
        <f t="shared" si="54"/>
        <v>0.05</v>
      </c>
      <c r="C126">
        <f>IF(协调曲线图!$S$8="是，LCO绘图",IF((k0one/((POWER($A126,alfa01))-1)*(t0one/beta01))&gt;Lco瞬跳時間1,k0one/((POWER($A126,alfa01))-1)*(t0one/beta01),Lco瞬跳時間1)," ")</f>
        <v>0.23498631106004428</v>
      </c>
      <c r="D126">
        <f t="shared" si="70"/>
        <v>1050</v>
      </c>
      <c r="E126">
        <f t="shared" si="71"/>
        <v>150</v>
      </c>
      <c r="G126">
        <f t="shared" si="55"/>
        <v>0.25</v>
      </c>
      <c r="H126">
        <f>IF(协调曲线图!$S$15="是，LCO绘图",IF((k0two/((POWER($A126,alfa02))-1)*(t0two/beta02))&gt;Lco瞬跳時間2,k0two/((POWER($A126,alfa02))-1)*(t0two/beta02),Lco瞬跳時間2)," ")</f>
        <v>0.32898083548406198</v>
      </c>
      <c r="I126">
        <f t="shared" si="56"/>
        <v>1500</v>
      </c>
      <c r="J126">
        <f t="shared" si="57"/>
        <v>150</v>
      </c>
      <c r="L126">
        <f t="shared" si="58"/>
        <v>0.45</v>
      </c>
      <c r="M126">
        <f>IF(协调曲线图!$S$22="是，LCO绘图",IF((k0three/((POWER($A126,alfa03))-1)*(t0three/beta03))&gt;Lco瞬跳時間3,k0three/((POWER($A126,alfa03))-1)*(t0three/beta03),Lco瞬跳時間3)," ")</f>
        <v>0.42297535990807977</v>
      </c>
      <c r="N126">
        <f t="shared" si="59"/>
        <v>2000</v>
      </c>
      <c r="O126">
        <f t="shared" si="60"/>
        <v>150</v>
      </c>
      <c r="Q126">
        <f t="shared" si="61"/>
        <v>0.65</v>
      </c>
      <c r="R126">
        <f>IF(协调曲线图!$S$29="是，LCO绘图",IF((k0four/((POWER($A126,alfa04))-1)*(t0four/beta04))&gt;Lco瞬跳時間4,k0four/((POWER($A126,alfa04))-1)*(t0four/beta04),Lco瞬跳時間4)," ")</f>
        <v>0.51696988433209745</v>
      </c>
      <c r="S126">
        <f t="shared" si="62"/>
        <v>2500</v>
      </c>
      <c r="T126">
        <f t="shared" si="63"/>
        <v>150</v>
      </c>
      <c r="V126">
        <f t="shared" si="64"/>
        <v>0.85</v>
      </c>
      <c r="W126">
        <f>IF(协调曲线图!$S$36="是，LCO绘图",IF((k0five/((POWER($A126,alfa05))-1)*(t0five/beta05))&gt;Lco瞬跳時間5,k0five/((POWER($A126,alfa05))-1)*(t0five/beta05),Lco瞬跳時間5)," ")</f>
        <v>0.61096440875611524</v>
      </c>
      <c r="X126">
        <f t="shared" si="65"/>
        <v>3000</v>
      </c>
      <c r="Y126">
        <f t="shared" si="66"/>
        <v>150</v>
      </c>
      <c r="AA126">
        <f t="shared" si="67"/>
        <v>1.05</v>
      </c>
      <c r="AB126">
        <f>IF(协调曲线图!$S$43="是，LCO绘图",IF((k0six/((POWER($A126,alfa06))-1)*(t0six/beta06))&gt;Lco瞬跳時間6,k0six/((POWER($A126,alfa06))-1)*(t0six/beta06),Lco瞬跳時間6)," ")</f>
        <v>0.75195619539214176</v>
      </c>
      <c r="AC126">
        <f t="shared" si="68"/>
        <v>5000</v>
      </c>
      <c r="AD126">
        <f t="shared" si="69"/>
        <v>300</v>
      </c>
    </row>
    <row r="127" spans="1:30">
      <c r="A127">
        <v>120</v>
      </c>
      <c r="B127">
        <f t="shared" si="54"/>
        <v>0.05</v>
      </c>
      <c r="C127">
        <f>IF(协调曲线图!$S$8="是，LCO绘图",IF((k0one/((POWER($A127,alfa01))-1)*(t0one/beta01))&gt;Lco瞬跳時間1,k0one/((POWER($A127,alfa01))-1)*(t0one/beta01),Lco瞬跳時間1)," ")</f>
        <v>0.23455562706153044</v>
      </c>
      <c r="D127">
        <f t="shared" si="70"/>
        <v>1050</v>
      </c>
      <c r="E127">
        <f t="shared" si="71"/>
        <v>150</v>
      </c>
      <c r="G127">
        <f t="shared" si="55"/>
        <v>0.25</v>
      </c>
      <c r="H127">
        <f>IF(协调曲线图!$S$15="是，LCO绘图",IF((k0two/((POWER($A127,alfa02))-1)*(t0two/beta02))&gt;Lco瞬跳時間2,k0two/((POWER($A127,alfa02))-1)*(t0two/beta02),Lco瞬跳時間2)," ")</f>
        <v>0.32837787788614264</v>
      </c>
      <c r="I127">
        <f t="shared" si="56"/>
        <v>1500</v>
      </c>
      <c r="J127">
        <f t="shared" si="57"/>
        <v>150</v>
      </c>
      <c r="L127">
        <f t="shared" si="58"/>
        <v>0.45</v>
      </c>
      <c r="M127">
        <f>IF(协调曲线图!$S$22="是，LCO绘图",IF((k0three/((POWER($A127,alfa03))-1)*(t0three/beta03))&gt;Lco瞬跳時間3,k0three/((POWER($A127,alfa03))-1)*(t0three/beta03),Lco瞬跳時間3)," ")</f>
        <v>0.42220012871075485</v>
      </c>
      <c r="N127">
        <f t="shared" si="59"/>
        <v>2000</v>
      </c>
      <c r="O127">
        <f t="shared" si="60"/>
        <v>150</v>
      </c>
      <c r="Q127">
        <f t="shared" si="61"/>
        <v>0.65</v>
      </c>
      <c r="R127">
        <f>IF(协调曲线图!$S$29="是，LCO绘图",IF((k0four/((POWER($A127,alfa04))-1)*(t0four/beta04))&gt;Lco瞬跳時間4,k0four/((POWER($A127,alfa04))-1)*(t0four/beta04),Lco瞬跳時間4)," ")</f>
        <v>0.516022379535367</v>
      </c>
      <c r="S127">
        <f t="shared" si="62"/>
        <v>2500</v>
      </c>
      <c r="T127">
        <f t="shared" si="63"/>
        <v>150</v>
      </c>
      <c r="V127">
        <f t="shared" si="64"/>
        <v>0.85</v>
      </c>
      <c r="W127">
        <f>IF(协调曲线图!$S$36="是，LCO绘图",IF((k0five/((POWER($A127,alfa05))-1)*(t0five/beta05))&gt;Lco瞬跳時間5,k0five/((POWER($A127,alfa05))-1)*(t0five/beta05),Lco瞬跳時間5)," ")</f>
        <v>0.60984463035997916</v>
      </c>
      <c r="X127">
        <f t="shared" si="65"/>
        <v>3000</v>
      </c>
      <c r="Y127">
        <f t="shared" si="66"/>
        <v>150</v>
      </c>
      <c r="AA127">
        <f t="shared" si="67"/>
        <v>1.05</v>
      </c>
      <c r="AB127">
        <f>IF(协调曲线图!$S$43="是，LCO绘图",IF((k0six/((POWER($A127,alfa06))-1)*(t0six/beta06))&gt;Lco瞬跳時間6,k0six/((POWER($A127,alfa06))-1)*(t0six/beta06),Lco瞬跳時間6)," ")</f>
        <v>0.75057800659689744</v>
      </c>
      <c r="AC127">
        <f t="shared" si="68"/>
        <v>5000</v>
      </c>
      <c r="AD127">
        <f t="shared" si="69"/>
        <v>300</v>
      </c>
    </row>
    <row r="128" spans="1:30">
      <c r="A128">
        <v>121</v>
      </c>
      <c r="B128">
        <f t="shared" si="54"/>
        <v>0.05</v>
      </c>
      <c r="C128">
        <f>IF(协调曲线图!$S$8="是，LCO绘图",IF((k0one/((POWER($A128,alfa01))-1)*(t0one/beta01))&gt;Lco瞬跳時間1,k0one/((POWER($A128,alfa01))-1)*(t0one/beta01),Lco瞬跳時間1)," ")</f>
        <v>0.23413000273343645</v>
      </c>
      <c r="D128">
        <f t="shared" si="70"/>
        <v>1050</v>
      </c>
      <c r="E128">
        <f t="shared" si="71"/>
        <v>150</v>
      </c>
      <c r="G128">
        <f t="shared" si="55"/>
        <v>0.25</v>
      </c>
      <c r="H128">
        <f>IF(协调曲线图!$S$15="是，LCO绘图",IF((k0two/((POWER($A128,alfa02))-1)*(t0two/beta02))&gt;Lco瞬跳時間2,k0two/((POWER($A128,alfa02))-1)*(t0two/beta02),Lco瞬跳時間2)," ")</f>
        <v>0.32778200382681105</v>
      </c>
      <c r="I128">
        <f t="shared" si="56"/>
        <v>1500</v>
      </c>
      <c r="J128">
        <f t="shared" si="57"/>
        <v>150</v>
      </c>
      <c r="L128">
        <f t="shared" si="58"/>
        <v>0.45</v>
      </c>
      <c r="M128">
        <f>IF(协调曲线图!$S$22="是，LCO绘图",IF((k0three/((POWER($A128,alfa03))-1)*(t0three/beta03))&gt;Lco瞬跳時間3,k0three/((POWER($A128,alfa03))-1)*(t0three/beta03),Lco瞬跳時間3)," ")</f>
        <v>0.42143400492018568</v>
      </c>
      <c r="N128">
        <f t="shared" si="59"/>
        <v>2000</v>
      </c>
      <c r="O128">
        <f t="shared" si="60"/>
        <v>150</v>
      </c>
      <c r="Q128">
        <f t="shared" si="61"/>
        <v>0.65</v>
      </c>
      <c r="R128">
        <f>IF(协调曲线图!$S$29="是，LCO绘图",IF((k0four/((POWER($A128,alfa04))-1)*(t0four/beta04))&gt;Lco瞬跳時間4,k0four/((POWER($A128,alfa04))-1)*(t0four/beta04),Lco瞬跳時間4)," ")</f>
        <v>0.51508600601356025</v>
      </c>
      <c r="S128">
        <f t="shared" si="62"/>
        <v>2500</v>
      </c>
      <c r="T128">
        <f t="shared" si="63"/>
        <v>150</v>
      </c>
      <c r="V128">
        <f t="shared" si="64"/>
        <v>0.85</v>
      </c>
      <c r="W128">
        <f>IF(协调曲线图!$S$36="是，LCO绘图",IF((k0five/((POWER($A128,alfa05))-1)*(t0five/beta05))&gt;Lco瞬跳時間5,k0five/((POWER($A128,alfa05))-1)*(t0five/beta05),Lco瞬跳時間5)," ")</f>
        <v>0.60873800710693482</v>
      </c>
      <c r="X128">
        <f t="shared" si="65"/>
        <v>3000</v>
      </c>
      <c r="Y128">
        <f t="shared" si="66"/>
        <v>150</v>
      </c>
      <c r="AA128">
        <f t="shared" si="67"/>
        <v>1.05</v>
      </c>
      <c r="AB128">
        <f>IF(协调曲线图!$S$43="是，LCO绘图",IF((k0six/((POWER($A128,alfa06))-1)*(t0six/beta06))&gt;Lco瞬跳時間6,k0six/((POWER($A128,alfa06))-1)*(t0six/beta06),Lco瞬跳時間6)," ")</f>
        <v>0.74921600874699668</v>
      </c>
      <c r="AC128">
        <f t="shared" si="68"/>
        <v>5000</v>
      </c>
      <c r="AD128">
        <f t="shared" si="69"/>
        <v>300</v>
      </c>
    </row>
    <row r="129" spans="1:30">
      <c r="A129">
        <v>122</v>
      </c>
      <c r="B129">
        <f t="shared" si="54"/>
        <v>0.05</v>
      </c>
      <c r="C129">
        <f>IF(协调曲线图!$S$8="是，LCO绘图",IF((k0one/((POWER($A129,alfa01))-1)*(t0one/beta01))&gt;Lco瞬跳時間1,k0one/((POWER($A129,alfa01))-1)*(t0one/beta01),Lco瞬跳時間1)," ")</f>
        <v>0.23370933503915542</v>
      </c>
      <c r="D129">
        <f t="shared" si="70"/>
        <v>1050</v>
      </c>
      <c r="E129">
        <f t="shared" si="71"/>
        <v>150</v>
      </c>
      <c r="G129">
        <f t="shared" si="55"/>
        <v>0.25</v>
      </c>
      <c r="H129">
        <f>IF(协调曲线图!$S$15="是，LCO绘图",IF((k0two/((POWER($A129,alfa02))-1)*(t0two/beta02))&gt;Lco瞬跳時間2,k0two/((POWER($A129,alfa02))-1)*(t0two/beta02),Lco瞬跳時間2)," ")</f>
        <v>0.3271930690548176</v>
      </c>
      <c r="I129">
        <f t="shared" si="56"/>
        <v>1500</v>
      </c>
      <c r="J129">
        <f t="shared" si="57"/>
        <v>150</v>
      </c>
      <c r="L129">
        <f t="shared" si="58"/>
        <v>0.45</v>
      </c>
      <c r="M129">
        <f>IF(协调曲线图!$S$22="是，LCO绘图",IF((k0three/((POWER($A129,alfa03))-1)*(t0three/beta03))&gt;Lco瞬跳時間3,k0three/((POWER($A129,alfa03))-1)*(t0three/beta03),Lco瞬跳時間3)," ")</f>
        <v>0.42067680307047978</v>
      </c>
      <c r="N129">
        <f t="shared" si="59"/>
        <v>2000</v>
      </c>
      <c r="O129">
        <f t="shared" si="60"/>
        <v>150</v>
      </c>
      <c r="Q129">
        <f t="shared" si="61"/>
        <v>0.65</v>
      </c>
      <c r="R129">
        <f>IF(协调曲线图!$S$29="是，LCO绘图",IF((k0four/((POWER($A129,alfa04))-1)*(t0four/beta04))&gt;Lco瞬跳時間4,k0four/((POWER($A129,alfa04))-1)*(t0four/beta04),Lco瞬跳時間4)," ")</f>
        <v>0.51416053708614196</v>
      </c>
      <c r="S129">
        <f t="shared" si="62"/>
        <v>2500</v>
      </c>
      <c r="T129">
        <f t="shared" si="63"/>
        <v>150</v>
      </c>
      <c r="V129">
        <f t="shared" si="64"/>
        <v>0.85</v>
      </c>
      <c r="W129">
        <f>IF(协调曲线图!$S$36="是，LCO绘图",IF((k0five/((POWER($A129,alfa05))-1)*(t0five/beta05))&gt;Lco瞬跳時間5,k0five/((POWER($A129,alfa05))-1)*(t0five/beta05),Lco瞬跳時間5)," ")</f>
        <v>0.60764427110180408</v>
      </c>
      <c r="X129">
        <f t="shared" si="65"/>
        <v>3000</v>
      </c>
      <c r="Y129">
        <f t="shared" si="66"/>
        <v>150</v>
      </c>
      <c r="AA129">
        <f t="shared" si="67"/>
        <v>1.05</v>
      </c>
      <c r="AB129">
        <f>IF(协调曲线图!$S$43="是，LCO绘图",IF((k0six/((POWER($A129,alfa06))-1)*(t0six/beta06))&gt;Lco瞬跳時間6,k0six/((POWER($A129,alfa06))-1)*(t0six/beta06),Lco瞬跳時間6)," ")</f>
        <v>0.74786987212529732</v>
      </c>
      <c r="AC129">
        <f t="shared" si="68"/>
        <v>5000</v>
      </c>
      <c r="AD129">
        <f t="shared" si="69"/>
        <v>300</v>
      </c>
    </row>
    <row r="130" spans="1:30">
      <c r="A130">
        <v>123</v>
      </c>
      <c r="B130">
        <f t="shared" si="54"/>
        <v>0.05</v>
      </c>
      <c r="C130">
        <f>IF(协调曲线图!$S$8="是，LCO绘图",IF((k0one/((POWER($A130,alfa01))-1)*(t0one/beta01))&gt;Lco瞬跳時間1,k0one/((POWER($A130,alfa01))-1)*(t0one/beta01),Lco瞬跳時間1)," ")</f>
        <v>0.23329352389866451</v>
      </c>
      <c r="D130">
        <f t="shared" si="70"/>
        <v>1050</v>
      </c>
      <c r="E130">
        <f t="shared" si="71"/>
        <v>150</v>
      </c>
      <c r="G130">
        <f t="shared" si="55"/>
        <v>0.25</v>
      </c>
      <c r="H130">
        <f>IF(协调曲线图!$S$15="是，LCO绘图",IF((k0two/((POWER($A130,alfa02))-1)*(t0two/beta02))&gt;Lco瞬跳時間2,k0two/((POWER($A130,alfa02))-1)*(t0two/beta02),Lco瞬跳時間2)," ")</f>
        <v>0.3266109334581303</v>
      </c>
      <c r="I130">
        <f t="shared" si="56"/>
        <v>1500</v>
      </c>
      <c r="J130">
        <f t="shared" si="57"/>
        <v>150</v>
      </c>
      <c r="L130">
        <f t="shared" si="58"/>
        <v>0.45</v>
      </c>
      <c r="M130">
        <f>IF(协调曲线图!$S$22="是，LCO绘图",IF((k0three/((POWER($A130,alfa03))-1)*(t0three/beta03))&gt;Lco瞬跳時間3,k0three/((POWER($A130,alfa03))-1)*(t0three/beta03),Lco瞬跳時間3)," ")</f>
        <v>0.41992834301759613</v>
      </c>
      <c r="N130">
        <f t="shared" si="59"/>
        <v>2000</v>
      </c>
      <c r="O130">
        <f t="shared" si="60"/>
        <v>150</v>
      </c>
      <c r="Q130">
        <f t="shared" si="61"/>
        <v>0.65</v>
      </c>
      <c r="R130">
        <f>IF(协调曲线图!$S$29="是，LCO绘图",IF((k0four/((POWER($A130,alfa04))-1)*(t0four/beta04))&gt;Lco瞬跳時間4,k0four/((POWER($A130,alfa04))-1)*(t0four/beta04),Lco瞬跳時間4)," ")</f>
        <v>0.51324575257706195</v>
      </c>
      <c r="S130">
        <f t="shared" si="62"/>
        <v>2500</v>
      </c>
      <c r="T130">
        <f t="shared" si="63"/>
        <v>150</v>
      </c>
      <c r="V130">
        <f t="shared" si="64"/>
        <v>0.85</v>
      </c>
      <c r="W130">
        <f>IF(协调曲线图!$S$36="是，LCO绘图",IF((k0five/((POWER($A130,alfa05))-1)*(t0five/beta05))&gt;Lco瞬跳時間5,k0five/((POWER($A130,alfa05))-1)*(t0five/beta05),Lco瞬跳時間5)," ")</f>
        <v>0.60656316213652772</v>
      </c>
      <c r="X130">
        <f t="shared" si="65"/>
        <v>3000</v>
      </c>
      <c r="Y130">
        <f t="shared" si="66"/>
        <v>150</v>
      </c>
      <c r="AA130">
        <f t="shared" si="67"/>
        <v>1.05</v>
      </c>
      <c r="AB130">
        <f>IF(协调曲线图!$S$43="是，LCO绘图",IF((k0six/((POWER($A130,alfa06))-1)*(t0six/beta06))&gt;Lco瞬跳時間6,k0six/((POWER($A130,alfa06))-1)*(t0six/beta06),Lco瞬跳時間6)," ")</f>
        <v>0.74653927647572649</v>
      </c>
      <c r="AC130">
        <f t="shared" si="68"/>
        <v>5000</v>
      </c>
      <c r="AD130">
        <f t="shared" si="69"/>
        <v>300</v>
      </c>
    </row>
    <row r="131" spans="1:30">
      <c r="A131">
        <v>124</v>
      </c>
      <c r="B131">
        <f t="shared" si="54"/>
        <v>0.05</v>
      </c>
      <c r="C131">
        <f>IF(协调曲线图!$S$8="是，LCO绘图",IF((k0one/((POWER($A131,alfa01))-1)*(t0one/beta01))&gt;Lco瞬跳時間1,k0one/((POWER($A131,alfa01))-1)*(t0one/beta01),Lco瞬跳時間1)," ")</f>
        <v>0.23288247207965815</v>
      </c>
      <c r="D131">
        <f t="shared" si="70"/>
        <v>1050</v>
      </c>
      <c r="E131">
        <f t="shared" si="71"/>
        <v>150</v>
      </c>
      <c r="G131">
        <f t="shared" si="55"/>
        <v>0.25</v>
      </c>
      <c r="H131">
        <f>IF(协调曲线图!$S$15="是，LCO绘图",IF((k0two/((POWER($A131,alfa02))-1)*(t0two/beta02))&gt;Lco瞬跳時間2,k0two/((POWER($A131,alfa02))-1)*(t0two/beta02),Lco瞬跳時間2)," ")</f>
        <v>0.32603546091152141</v>
      </c>
      <c r="I131">
        <f t="shared" si="56"/>
        <v>1500</v>
      </c>
      <c r="J131">
        <f t="shared" si="57"/>
        <v>150</v>
      </c>
      <c r="L131">
        <f t="shared" si="58"/>
        <v>0.45</v>
      </c>
      <c r="M131">
        <f>IF(协调曲线图!$S$22="是，LCO绘图",IF((k0three/((POWER($A131,alfa03))-1)*(t0three/beta03))&gt;Lco瞬跳時間3,k0three/((POWER($A131,alfa03))-1)*(t0three/beta03),Lco瞬跳時間3)," ")</f>
        <v>0.41918844974338476</v>
      </c>
      <c r="N131">
        <f t="shared" si="59"/>
        <v>2000</v>
      </c>
      <c r="O131">
        <f t="shared" si="60"/>
        <v>150</v>
      </c>
      <c r="Q131">
        <f t="shared" si="61"/>
        <v>0.65</v>
      </c>
      <c r="R131">
        <f>IF(协调曲线图!$S$29="是，LCO绘图",IF((k0four/((POWER($A131,alfa04))-1)*(t0four/beta04))&gt;Lco瞬跳時間4,k0four/((POWER($A131,alfa04))-1)*(t0four/beta04),Lco瞬跳時間4)," ")</f>
        <v>0.51234143857524794</v>
      </c>
      <c r="S131">
        <f t="shared" si="62"/>
        <v>2500</v>
      </c>
      <c r="T131">
        <f t="shared" si="63"/>
        <v>150</v>
      </c>
      <c r="V131">
        <f t="shared" si="64"/>
        <v>0.85</v>
      </c>
      <c r="W131">
        <f>IF(协调曲线图!$S$36="是，LCO绘图",IF((k0five/((POWER($A131,alfa05))-1)*(t0five/beta05))&gt;Lco瞬跳時間5,k0five/((POWER($A131,alfa05))-1)*(t0five/beta05),Lco瞬跳時間5)," ")</f>
        <v>0.60549442740711124</v>
      </c>
      <c r="X131">
        <f t="shared" si="65"/>
        <v>3000</v>
      </c>
      <c r="Y131">
        <f t="shared" si="66"/>
        <v>150</v>
      </c>
      <c r="AA131">
        <f t="shared" si="67"/>
        <v>1.05</v>
      </c>
      <c r="AB131">
        <f>IF(协调曲线图!$S$43="是，LCO绘图",IF((k0six/((POWER($A131,alfa06))-1)*(t0six/beta06))&gt;Lco瞬跳時間6,k0six/((POWER($A131,alfa06))-1)*(t0six/beta06),Lco瞬跳時間6)," ")</f>
        <v>0.74522391065490612</v>
      </c>
      <c r="AC131">
        <f t="shared" si="68"/>
        <v>5000</v>
      </c>
      <c r="AD131">
        <f t="shared" si="69"/>
        <v>300</v>
      </c>
    </row>
    <row r="132" spans="1:30">
      <c r="A132">
        <v>125</v>
      </c>
      <c r="B132">
        <f t="shared" si="54"/>
        <v>0.05</v>
      </c>
      <c r="C132">
        <f>IF(协调曲线图!$S$8="是，LCO绘图",IF((k0one/((POWER($A132,alfa01))-1)*(t0one/beta01))&gt;Lco瞬跳時間1,k0one/((POWER($A132,alfa01))-1)*(t0one/beta01),Lco瞬跳時間1)," ")</f>
        <v>0.2324760850935543</v>
      </c>
      <c r="D132">
        <f t="shared" si="70"/>
        <v>1050</v>
      </c>
      <c r="E132">
        <f t="shared" si="71"/>
        <v>150</v>
      </c>
      <c r="G132">
        <f t="shared" si="55"/>
        <v>0.25</v>
      </c>
      <c r="H132">
        <f>IF(协调曲线图!$S$15="是，LCO绘图",IF((k0two/((POWER($A132,alfa02))-1)*(t0two/beta02))&gt;Lco瞬跳時間2,k0two/((POWER($A132,alfa02))-1)*(t0two/beta02),Lco瞬跳時間2)," ")</f>
        <v>0.32546651913097602</v>
      </c>
      <c r="I132">
        <f t="shared" si="56"/>
        <v>1500</v>
      </c>
      <c r="J132">
        <f t="shared" si="57"/>
        <v>150</v>
      </c>
      <c r="L132">
        <f t="shared" si="58"/>
        <v>0.45</v>
      </c>
      <c r="M132">
        <f>IF(协调曲线图!$S$22="是，LCO绘图",IF((k0three/((POWER($A132,alfa03))-1)*(t0three/beta03))&gt;Lco瞬跳時間3,k0three/((POWER($A132,alfa03))-1)*(t0three/beta03),Lco瞬跳時間3)," ")</f>
        <v>0.41845695316839782</v>
      </c>
      <c r="N132">
        <f t="shared" si="59"/>
        <v>2000</v>
      </c>
      <c r="O132">
        <f t="shared" si="60"/>
        <v>150</v>
      </c>
      <c r="Q132">
        <f t="shared" si="61"/>
        <v>0.65</v>
      </c>
      <c r="R132">
        <f>IF(协调曲线图!$S$29="是，LCO绘图",IF((k0four/((POWER($A132,alfa04))-1)*(t0four/beta04))&gt;Lco瞬跳時間4,k0four/((POWER($A132,alfa04))-1)*(t0four/beta04),Lco瞬跳時間4)," ")</f>
        <v>0.5114473872058195</v>
      </c>
      <c r="S132">
        <f t="shared" si="62"/>
        <v>2500</v>
      </c>
      <c r="T132">
        <f t="shared" si="63"/>
        <v>150</v>
      </c>
      <c r="V132">
        <f t="shared" si="64"/>
        <v>0.85</v>
      </c>
      <c r="W132">
        <f>IF(协调曲线图!$S$36="是，LCO绘图",IF((k0five/((POWER($A132,alfa05))-1)*(t0five/beta05))&gt;Lco瞬跳時間5,k0five/((POWER($A132,alfa05))-1)*(t0five/beta05),Lco瞬跳時間5)," ")</f>
        <v>0.6044378212432413</v>
      </c>
      <c r="X132">
        <f t="shared" si="65"/>
        <v>3000</v>
      </c>
      <c r="Y132">
        <f t="shared" si="66"/>
        <v>150</v>
      </c>
      <c r="AA132">
        <f t="shared" si="67"/>
        <v>1.05</v>
      </c>
      <c r="AB132">
        <f>IF(协调曲线图!$S$43="是，LCO绘图",IF((k0six/((POWER($A132,alfa06))-1)*(t0six/beta06))&gt;Lco瞬跳時間6,k0six/((POWER($A132,alfa06))-1)*(t0six/beta06),Lco瞬跳時間6)," ")</f>
        <v>0.74392347229937383</v>
      </c>
      <c r="AC132">
        <f t="shared" si="68"/>
        <v>5000</v>
      </c>
      <c r="AD132">
        <f t="shared" si="69"/>
        <v>300</v>
      </c>
    </row>
    <row r="133" spans="1:30">
      <c r="A133">
        <v>126</v>
      </c>
      <c r="B133">
        <f t="shared" si="54"/>
        <v>0.05</v>
      </c>
      <c r="C133">
        <f>IF(协调曲线图!$S$8="是，LCO绘图",IF((k0one/((POWER($A133,alfa01))-1)*(t0one/beta01))&gt;Lco瞬跳時間1,k0one/((POWER($A133,alfa01))-1)*(t0one/beta01),Lco瞬跳時間1)," ")</f>
        <v>0.23207427109611758</v>
      </c>
      <c r="D133">
        <f t="shared" si="70"/>
        <v>1050</v>
      </c>
      <c r="E133">
        <f t="shared" si="71"/>
        <v>150</v>
      </c>
      <c r="G133">
        <f t="shared" si="55"/>
        <v>0.25</v>
      </c>
      <c r="H133">
        <f>IF(协调曲线图!$S$15="是，LCO绘图",IF((k0two/((POWER($A133,alfa02))-1)*(t0two/beta02))&gt;Lco瞬跳時間2,k0two/((POWER($A133,alfa02))-1)*(t0two/beta02),Lco瞬跳時間2)," ")</f>
        <v>0.32490397953456462</v>
      </c>
      <c r="I133">
        <f t="shared" si="56"/>
        <v>1500</v>
      </c>
      <c r="J133">
        <f t="shared" si="57"/>
        <v>150</v>
      </c>
      <c r="L133">
        <f t="shared" si="58"/>
        <v>0.45</v>
      </c>
      <c r="M133">
        <f>IF(协调曲线图!$S$22="是，LCO绘图",IF((k0three/((POWER($A133,alfa03))-1)*(t0three/beta03))&gt;Lco瞬跳時間3,k0three/((POWER($A133,alfa03))-1)*(t0three/beta03),Lco瞬跳時間3)," ")</f>
        <v>0.41773368797301169</v>
      </c>
      <c r="N133">
        <f t="shared" si="59"/>
        <v>2000</v>
      </c>
      <c r="O133">
        <f t="shared" si="60"/>
        <v>150</v>
      </c>
      <c r="Q133">
        <f t="shared" si="61"/>
        <v>0.65</v>
      </c>
      <c r="R133">
        <f>IF(协调曲线图!$S$29="是，LCO绘图",IF((k0four/((POWER($A133,alfa04))-1)*(t0four/beta04))&gt;Lco瞬跳時間4,k0four/((POWER($A133,alfa04))-1)*(t0four/beta04),Lco瞬跳時間4)," ")</f>
        <v>0.51056339641145865</v>
      </c>
      <c r="S133">
        <f t="shared" si="62"/>
        <v>2500</v>
      </c>
      <c r="T133">
        <f t="shared" si="63"/>
        <v>150</v>
      </c>
      <c r="V133">
        <f t="shared" si="64"/>
        <v>0.85</v>
      </c>
      <c r="W133">
        <f>IF(协调曲线图!$S$36="是，LCO绘图",IF((k0five/((POWER($A133,alfa05))-1)*(t0five/beta05))&gt;Lco瞬跳時間5,k0five/((POWER($A133,alfa05))-1)*(t0five/beta05),Lco瞬跳時間5)," ")</f>
        <v>0.60339310484990583</v>
      </c>
      <c r="X133">
        <f t="shared" si="65"/>
        <v>3000</v>
      </c>
      <c r="Y133">
        <f t="shared" si="66"/>
        <v>150</v>
      </c>
      <c r="AA133">
        <f t="shared" si="67"/>
        <v>1.05</v>
      </c>
      <c r="AB133">
        <f>IF(协调曲线图!$S$43="是，LCO绘图",IF((k0six/((POWER($A133,alfa06))-1)*(t0six/beta06))&gt;Lco瞬跳時間6,k0six/((POWER($A133,alfa06))-1)*(t0six/beta06),Lco瞬跳時間6)," ")</f>
        <v>0.74263766750757632</v>
      </c>
      <c r="AC133">
        <f t="shared" si="68"/>
        <v>5000</v>
      </c>
      <c r="AD133">
        <f t="shared" si="69"/>
        <v>300</v>
      </c>
    </row>
    <row r="134" spans="1:30">
      <c r="A134">
        <v>127</v>
      </c>
      <c r="B134">
        <f t="shared" si="54"/>
        <v>0.05</v>
      </c>
      <c r="C134">
        <f>IF(协调曲线图!$S$8="是，LCO绘图",IF((k0one/((POWER($A134,alfa01))-1)*(t0one/beta01))&gt;Lco瞬跳時間1,k0one/((POWER($A134,alfa01))-1)*(t0one/beta01),Lco瞬跳時間1)," ")</f>
        <v>0.2316769407924662</v>
      </c>
      <c r="D134">
        <f t="shared" si="70"/>
        <v>1050</v>
      </c>
      <c r="E134">
        <f t="shared" si="71"/>
        <v>150</v>
      </c>
      <c r="G134">
        <f t="shared" si="55"/>
        <v>0.25</v>
      </c>
      <c r="H134">
        <f>IF(协调曲线图!$S$15="是，LCO绘图",IF((k0two/((POWER($A134,alfa02))-1)*(t0two/beta02))&gt;Lco瞬跳時間2,k0two/((POWER($A134,alfa02))-1)*(t0two/beta02),Lco瞬跳時間2)," ")</f>
        <v>0.3243477171094527</v>
      </c>
      <c r="I134">
        <f t="shared" si="56"/>
        <v>1500</v>
      </c>
      <c r="J134">
        <f t="shared" si="57"/>
        <v>150</v>
      </c>
      <c r="L134">
        <f t="shared" si="58"/>
        <v>0.45</v>
      </c>
      <c r="M134">
        <f>IF(协调曲线图!$S$22="是，LCO绘图",IF((k0three/((POWER($A134,alfa03))-1)*(t0three/beta03))&gt;Lco瞬跳時間3,k0three/((POWER($A134,alfa03))-1)*(t0three/beta03),Lco瞬跳時間3)," ")</f>
        <v>0.41701849342643921</v>
      </c>
      <c r="N134">
        <f t="shared" si="59"/>
        <v>2000</v>
      </c>
      <c r="O134">
        <f t="shared" si="60"/>
        <v>150</v>
      </c>
      <c r="Q134">
        <f t="shared" si="61"/>
        <v>0.65</v>
      </c>
      <c r="R134">
        <f>IF(协调曲线图!$S$29="是，LCO绘图",IF((k0four/((POWER($A134,alfa04))-1)*(t0four/beta04))&gt;Lco瞬跳時間4,k0four/((POWER($A134,alfa04))-1)*(t0four/beta04),Lco瞬跳時間4)," ")</f>
        <v>0.50968926974342565</v>
      </c>
      <c r="S134">
        <f t="shared" si="62"/>
        <v>2500</v>
      </c>
      <c r="T134">
        <f t="shared" si="63"/>
        <v>150</v>
      </c>
      <c r="V134">
        <f t="shared" si="64"/>
        <v>0.85</v>
      </c>
      <c r="W134">
        <f>IF(协调曲线图!$S$36="是，LCO绘图",IF((k0five/((POWER($A134,alfa05))-1)*(t0five/beta05))&gt;Lco瞬跳時間5,k0five/((POWER($A134,alfa05))-1)*(t0five/beta05),Lco瞬跳時間5)," ")</f>
        <v>0.60236004606041216</v>
      </c>
      <c r="X134">
        <f t="shared" si="65"/>
        <v>3000</v>
      </c>
      <c r="Y134">
        <f t="shared" si="66"/>
        <v>150</v>
      </c>
      <c r="AA134">
        <f t="shared" si="67"/>
        <v>1.05</v>
      </c>
      <c r="AB134">
        <f>IF(协调曲线图!$S$43="是，LCO绘图",IF((k0six/((POWER($A134,alfa06))-1)*(t0six/beta06))&gt;Lco瞬跳時間6,k0six/((POWER($A134,alfa06))-1)*(t0six/beta06),Lco瞬跳時間6)," ")</f>
        <v>0.74136621053589191</v>
      </c>
      <c r="AC134">
        <f t="shared" si="68"/>
        <v>5000</v>
      </c>
      <c r="AD134">
        <f t="shared" si="69"/>
        <v>300</v>
      </c>
    </row>
    <row r="135" spans="1:30">
      <c r="A135">
        <v>128</v>
      </c>
      <c r="B135">
        <f t="shared" si="54"/>
        <v>0.05</v>
      </c>
      <c r="C135">
        <f>IF(协调曲线图!$S$8="是，LCO绘图",IF((k0one/((POWER($A135,alfa01))-1)*(t0one/beta01))&gt;Lco瞬跳時間1,k0one/((POWER($A135,alfa01))-1)*(t0one/beta01),Lco瞬跳時間1)," ")</f>
        <v>0.23128400734622145</v>
      </c>
      <c r="D135">
        <f t="shared" si="70"/>
        <v>1050</v>
      </c>
      <c r="E135">
        <f t="shared" si="71"/>
        <v>150</v>
      </c>
      <c r="G135">
        <f t="shared" si="55"/>
        <v>0.25</v>
      </c>
      <c r="H135">
        <f>IF(协调曲线图!$S$15="是，LCO绘图",IF((k0two/((POWER($A135,alfa02))-1)*(t0two/beta02))&gt;Lco瞬跳時間2,k0two/((POWER($A135,alfa02))-1)*(t0two/beta02),Lco瞬跳時間2)," ")</f>
        <v>0.32379761028471005</v>
      </c>
      <c r="I135">
        <f t="shared" si="56"/>
        <v>1500</v>
      </c>
      <c r="J135">
        <f t="shared" si="57"/>
        <v>150</v>
      </c>
      <c r="L135">
        <f t="shared" si="58"/>
        <v>0.45</v>
      </c>
      <c r="M135">
        <f>IF(协调曲线图!$S$22="是，LCO绘图",IF((k0three/((POWER($A135,alfa03))-1)*(t0three/beta03))&gt;Lco瞬跳時間3,k0three/((POWER($A135,alfa03))-1)*(t0three/beta03),Lco瞬跳時間3)," ")</f>
        <v>0.4163112132231987</v>
      </c>
      <c r="N135">
        <f t="shared" si="59"/>
        <v>2000</v>
      </c>
      <c r="O135">
        <f t="shared" si="60"/>
        <v>150</v>
      </c>
      <c r="Q135">
        <f t="shared" si="61"/>
        <v>0.65</v>
      </c>
      <c r="R135">
        <f>IF(协调曲线图!$S$29="是，LCO绘图",IF((k0four/((POWER($A135,alfa04))-1)*(t0four/beta04))&gt;Lco瞬跳時間4,k0four/((POWER($A135,alfa04))-1)*(t0four/beta04),Lco瞬跳時間4)," ")</f>
        <v>0.50882481616168729</v>
      </c>
      <c r="S135">
        <f t="shared" si="62"/>
        <v>2500</v>
      </c>
      <c r="T135">
        <f t="shared" si="63"/>
        <v>150</v>
      </c>
      <c r="V135">
        <f t="shared" si="64"/>
        <v>0.85</v>
      </c>
      <c r="W135">
        <f>IF(协调曲线图!$S$36="是，LCO绘图",IF((k0five/((POWER($A135,alfa05))-1)*(t0five/beta05))&gt;Lco瞬跳時間5,k0five/((POWER($A135,alfa05))-1)*(t0five/beta05),Lco瞬跳時間5)," ")</f>
        <v>0.60133841910017582</v>
      </c>
      <c r="X135">
        <f t="shared" si="65"/>
        <v>3000</v>
      </c>
      <c r="Y135">
        <f t="shared" si="66"/>
        <v>150</v>
      </c>
      <c r="AA135">
        <f t="shared" si="67"/>
        <v>1.05</v>
      </c>
      <c r="AB135">
        <f>IF(协调曲线图!$S$43="是，LCO绘图",IF((k0six/((POWER($A135,alfa06))-1)*(t0six/beta06))&gt;Lco瞬跳時間6,k0six/((POWER($A135,alfa06))-1)*(t0six/beta06),Lco瞬跳時間6)," ")</f>
        <v>0.74010882350790874</v>
      </c>
      <c r="AC135">
        <f t="shared" si="68"/>
        <v>5000</v>
      </c>
      <c r="AD135">
        <f t="shared" si="69"/>
        <v>300</v>
      </c>
    </row>
    <row r="136" spans="1:30">
      <c r="A136">
        <v>129</v>
      </c>
      <c r="B136">
        <f t="shared" ref="B136:B167" si="72">IF((kone/((POWER($A136,alfa1))-1)*(tone/beta1))&gt;瞬跳時間1,kone/((POWER($A136,alfa1))-1)*(tone/beta1),瞬跳時間1)</f>
        <v>0.05</v>
      </c>
      <c r="C136">
        <f>IF(协调曲线图!$S$8="是，LCO绘图",IF((k0one/((POWER($A136,alfa01))-1)*(t0one/beta01))&gt;Lco瞬跳時間1,k0one/((POWER($A136,alfa01))-1)*(t0one/beta01),Lco瞬跳時間1)," ")</f>
        <v>0.23089538629260475</v>
      </c>
      <c r="D136">
        <f t="shared" si="70"/>
        <v>1050</v>
      </c>
      <c r="E136">
        <f t="shared" si="71"/>
        <v>150</v>
      </c>
      <c r="G136">
        <f t="shared" ref="G136:G167" si="73">IF((ktwo/((POWER($A136,alfa2))-1)*(ttwo/beta2))&gt;瞬跳時間2,ktwo/((POWER($A136,alfa2))-1)*(ttwo/beta2),瞬跳時間2)</f>
        <v>0.25</v>
      </c>
      <c r="H136">
        <f>IF(协调曲线图!$S$15="是，LCO绘图",IF((k0two/((POWER($A136,alfa02))-1)*(t0two/beta02))&gt;Lco瞬跳時間2,k0two/((POWER($A136,alfa02))-1)*(t0two/beta02),Lco瞬跳時間2)," ")</f>
        <v>0.32325354080964663</v>
      </c>
      <c r="I136">
        <f t="shared" ref="I136:I167" si="74">IF(Istwo*$A136&gt;=瞬跳電流2,瞬跳電流2,Istwo*$A136)/(covb2/covt2)</f>
        <v>1500</v>
      </c>
      <c r="J136">
        <f t="shared" ref="J136:J167" si="75">IF(Is0two*$A136&gt;=Lco瞬跳電流2,Lco瞬跳電流2,Is0two*$A136)/(covb2/covt2)</f>
        <v>150</v>
      </c>
      <c r="L136">
        <f t="shared" ref="L136:L167" si="76">IF((kthree/((POWER($A136,alfa3))-1)*(tthree/beta3))&gt;瞬跳時間3,kthree/((POWER($A136,alfa3))-1)*(tthree/beta3),瞬跳時間3)</f>
        <v>0.45</v>
      </c>
      <c r="M136">
        <f>IF(协调曲线图!$S$22="是，LCO绘图",IF((k0three/((POWER($A136,alfa03))-1)*(t0three/beta03))&gt;Lco瞬跳時間3,k0three/((POWER($A136,alfa03))-1)*(t0three/beta03),Lco瞬跳時間3)," ")</f>
        <v>0.41561169532668862</v>
      </c>
      <c r="N136">
        <f t="shared" ref="N136:N167" si="77">IF(Isthree*$A136&gt;=瞬跳電流3,瞬跳電流3,Isthree*$A136)/(covb3/covt3)</f>
        <v>2000</v>
      </c>
      <c r="O136">
        <f t="shared" ref="O136:O167" si="78">IF(Is0three*$A136&gt;=Lco瞬跳電流3,Lco瞬跳電流3,Is0three*$A136)/(covb3/covt3)</f>
        <v>150</v>
      </c>
      <c r="Q136">
        <f t="shared" ref="Q136:Q167" si="79">IF((kfour/((POWER($A136,alfa4))-1)*(tfour/beta4))&gt;瞬跳時間4,kfour/((POWER($A136,alfa4))-1)*(tfour/beta4),瞬跳時間4)</f>
        <v>0.65</v>
      </c>
      <c r="R136">
        <f>IF(协调曲线图!$S$29="是，LCO绘图",IF((k0four/((POWER($A136,alfa04))-1)*(t0four/beta04))&gt;Lco瞬跳時間4,k0four/((POWER($A136,alfa04))-1)*(t0four/beta04),Lco瞬跳時間4)," ")</f>
        <v>0.5079698498437305</v>
      </c>
      <c r="S136">
        <f t="shared" ref="S136:S167" si="80">IF(Isfour*$A136&gt;=瞬跳電流4,瞬跳電流4,Isfour*$A136)/(covb4/covt4)</f>
        <v>2500</v>
      </c>
      <c r="T136">
        <f t="shared" ref="T136:T167" si="81">IF(Is0four*$A136&gt;=Lco瞬跳電流4,Lco瞬跳電流4,Is0four*$A136)/(covb4/covt4)</f>
        <v>150</v>
      </c>
      <c r="V136">
        <f t="shared" ref="V136:V167" si="82">IF((kfive/((POWER($A136,alfa5))-1)*(tfive/beta5))&gt;瞬跳時間5,kfive/((POWER($A136,alfa5))-1)*(tfive/beta5),瞬跳時間5)</f>
        <v>0.85</v>
      </c>
      <c r="W136">
        <f>IF(协调曲线图!$S$36="是，LCO绘图",IF((k0five/((POWER($A136,alfa05))-1)*(t0five/beta05))&gt;Lco瞬跳時間5,k0five/((POWER($A136,alfa05))-1)*(t0five/beta05),Lco瞬跳時間5)," ")</f>
        <v>0.60032800436077238</v>
      </c>
      <c r="X136">
        <f t="shared" ref="X136:X167" si="83">IF(Isfive*$A136&gt;=瞬跳電流5,瞬跳電流5,Isfive*$A136)/(covb5/covt5)</f>
        <v>3000</v>
      </c>
      <c r="Y136">
        <f t="shared" ref="Y136:Y167" si="84">IF(Is0five*$A136&gt;=Lco瞬跳電流5,Lco瞬跳電流5,Is0five*$A136)/(covb5/covt5)</f>
        <v>150</v>
      </c>
      <c r="AA136">
        <f t="shared" ref="AA136:AA167" si="85">IF((ksix/((POWER($A136,alfa6))-1)*(tsix/beta6))&gt;瞬跳時間6,ksix/((POWER($A136,alfa6))-1)*(tsix/beta6),瞬跳時間6)</f>
        <v>1.05</v>
      </c>
      <c r="AB136">
        <f>IF(协调曲线图!$S$43="是，LCO绘图",IF((k0six/((POWER($A136,alfa06))-1)*(t0six/beta06))&gt;Lco瞬跳時間6,k0six/((POWER($A136,alfa06))-1)*(t0six/beta06),Lco瞬跳時間6)," ")</f>
        <v>0.73886523613633526</v>
      </c>
      <c r="AC136">
        <f t="shared" ref="AC136:AC167" si="86">IF(Issix*$A136&gt;=瞬跳電流6,瞬跳電流6,Issix*$A136)/(covb6/covt6)</f>
        <v>5000</v>
      </c>
      <c r="AD136">
        <f t="shared" ref="AD136:AD167" si="87">IF(Is0six*$A136&gt;=Lco瞬跳電流6,Lco瞬跳電流6,Is0six*$A136)/(covb6/covt6)</f>
        <v>300</v>
      </c>
    </row>
    <row r="137" spans="1:30">
      <c r="A137">
        <v>130</v>
      </c>
      <c r="B137">
        <f t="shared" si="72"/>
        <v>0.05</v>
      </c>
      <c r="C137">
        <f>IF(协调曲线图!$S$8="是，LCO绘图",IF((k0one/((POWER($A137,alfa01))-1)*(t0one/beta01))&gt;Lco瞬跳時間1,k0one/((POWER($A137,alfa01))-1)*(t0one/beta01),Lco瞬跳時間1)," ")</f>
        <v>0.23051099545526482</v>
      </c>
      <c r="D137">
        <f t="shared" ref="D137:D168" si="88">IF(Isone*$A137&gt;=瞬跳電流1,瞬跳電流1,Isone*$A137)/(covb1/covt1)</f>
        <v>1050</v>
      </c>
      <c r="E137">
        <f t="shared" ref="E137:E168" si="89">IF(Is0one*$A137&gt;=Lco瞬跳電流1,Lco瞬跳電流1,Is0one*$A137)/(covb1/covt1)</f>
        <v>150</v>
      </c>
      <c r="G137">
        <f t="shared" si="73"/>
        <v>0.25</v>
      </c>
      <c r="H137">
        <f>IF(协调曲线图!$S$15="是，LCO绘图",IF((k0two/((POWER($A137,alfa02))-1)*(t0two/beta02))&gt;Lco瞬跳時間2,k0two/((POWER($A137,alfa02))-1)*(t0two/beta02),Lco瞬跳時間2)," ")</f>
        <v>0.32271539363737073</v>
      </c>
      <c r="I137">
        <f t="shared" si="74"/>
        <v>1500</v>
      </c>
      <c r="J137">
        <f t="shared" si="75"/>
        <v>150</v>
      </c>
      <c r="L137">
        <f t="shared" si="76"/>
        <v>0.45</v>
      </c>
      <c r="M137">
        <f>IF(协调曲线图!$S$22="是，LCO绘图",IF((k0three/((POWER($A137,alfa03))-1)*(t0three/beta03))&gt;Lco瞬跳時間3,k0three/((POWER($A137,alfa03))-1)*(t0three/beta03),Lco瞬跳時間3)," ")</f>
        <v>0.41491979181947675</v>
      </c>
      <c r="N137">
        <f t="shared" si="77"/>
        <v>2000</v>
      </c>
      <c r="O137">
        <f t="shared" si="78"/>
        <v>150</v>
      </c>
      <c r="Q137">
        <f t="shared" si="79"/>
        <v>0.65</v>
      </c>
      <c r="R137">
        <f>IF(协调曲线图!$S$29="是，LCO绘图",IF((k0four/((POWER($A137,alfa04))-1)*(t0four/beta04))&gt;Lco瞬跳時間4,k0four/((POWER($A137,alfa04))-1)*(t0four/beta04),Lco瞬跳時間4)," ")</f>
        <v>0.5071241900015826</v>
      </c>
      <c r="S137">
        <f t="shared" si="80"/>
        <v>2500</v>
      </c>
      <c r="T137">
        <f t="shared" si="81"/>
        <v>150</v>
      </c>
      <c r="V137">
        <f t="shared" si="82"/>
        <v>0.85</v>
      </c>
      <c r="W137">
        <f>IF(协调曲线图!$S$36="是，LCO绘图",IF((k0five/((POWER($A137,alfa05))-1)*(t0five/beta05))&gt;Lco瞬跳時間5,k0five/((POWER($A137,alfa05))-1)*(t0five/beta05),Lco瞬跳時間5)," ")</f>
        <v>0.59932858818368862</v>
      </c>
      <c r="X137">
        <f t="shared" si="83"/>
        <v>3000</v>
      </c>
      <c r="Y137">
        <f t="shared" si="84"/>
        <v>150</v>
      </c>
      <c r="AA137">
        <f t="shared" si="85"/>
        <v>1.05</v>
      </c>
      <c r="AB137">
        <f>IF(协调曲线图!$S$43="是，LCO绘图",IF((k0six/((POWER($A137,alfa06))-1)*(t0six/beta06))&gt;Lco瞬跳時間6,k0six/((POWER($A137,alfa06))-1)*(t0six/beta06),Lco瞬跳時間6)," ")</f>
        <v>0.73763518545684748</v>
      </c>
      <c r="AC137">
        <f t="shared" si="86"/>
        <v>5000</v>
      </c>
      <c r="AD137">
        <f t="shared" si="87"/>
        <v>300</v>
      </c>
    </row>
    <row r="138" spans="1:30">
      <c r="A138">
        <v>131</v>
      </c>
      <c r="B138">
        <f t="shared" si="72"/>
        <v>0.05</v>
      </c>
      <c r="C138">
        <f>IF(协调曲线图!$S$8="是，LCO绘图",IF((k0one/((POWER($A138,alfa01))-1)*(t0one/beta01))&gt;Lco瞬跳時間1,k0one/((POWER($A138,alfa01))-1)*(t0one/beta01),Lco瞬跳時間1)," ")</f>
        <v>0.23013075486665871</v>
      </c>
      <c r="D138">
        <f t="shared" si="88"/>
        <v>1050</v>
      </c>
      <c r="E138">
        <f t="shared" si="89"/>
        <v>150</v>
      </c>
      <c r="G138">
        <f t="shared" si="73"/>
        <v>0.25</v>
      </c>
      <c r="H138">
        <f>IF(协调曲线图!$S$15="是，LCO绘图",IF((k0two/((POWER($A138,alfa02))-1)*(t0two/beta02))&gt;Lco瞬跳時間2,k0two/((POWER($A138,alfa02))-1)*(t0two/beta02),Lco瞬跳時間2)," ")</f>
        <v>0.32218305681332221</v>
      </c>
      <c r="I138">
        <f t="shared" si="74"/>
        <v>1500</v>
      </c>
      <c r="J138">
        <f t="shared" si="75"/>
        <v>150</v>
      </c>
      <c r="L138">
        <f t="shared" si="76"/>
        <v>0.45</v>
      </c>
      <c r="M138">
        <f>IF(协调曲线图!$S$22="是，LCO绘图",IF((k0three/((POWER($A138,alfa03))-1)*(t0three/beta03))&gt;Lco瞬跳時間3,k0three/((POWER($A138,alfa03))-1)*(t0three/beta03),Lco瞬跳時間3)," ")</f>
        <v>0.41423535875998574</v>
      </c>
      <c r="N138">
        <f t="shared" si="77"/>
        <v>2000</v>
      </c>
      <c r="O138">
        <f t="shared" si="78"/>
        <v>150</v>
      </c>
      <c r="Q138">
        <f t="shared" si="79"/>
        <v>0.65</v>
      </c>
      <c r="R138">
        <f>IF(协调曲线图!$S$29="是，LCO绘图",IF((k0four/((POWER($A138,alfa04))-1)*(t0four/beta04))&gt;Lco瞬跳時間4,k0four/((POWER($A138,alfa04))-1)*(t0four/beta04),Lco瞬跳時間4)," ")</f>
        <v>0.50628766070664921</v>
      </c>
      <c r="S138">
        <f t="shared" si="80"/>
        <v>2500</v>
      </c>
      <c r="T138">
        <f t="shared" si="81"/>
        <v>150</v>
      </c>
      <c r="V138">
        <f t="shared" si="82"/>
        <v>0.85</v>
      </c>
      <c r="W138">
        <f>IF(协调曲线图!$S$36="是，LCO绘图",IF((k0five/((POWER($A138,alfa05))-1)*(t0five/beta05))&gt;Lco瞬跳時間5,k0five/((POWER($A138,alfa05))-1)*(t0five/beta05),Lco瞬跳時間5)," ")</f>
        <v>0.59833996265331268</v>
      </c>
      <c r="X138">
        <f t="shared" si="83"/>
        <v>3000</v>
      </c>
      <c r="Y138">
        <f t="shared" si="84"/>
        <v>150</v>
      </c>
      <c r="AA138">
        <f t="shared" si="85"/>
        <v>1.05</v>
      </c>
      <c r="AB138">
        <f>IF(协调曲线图!$S$43="是，LCO绘图",IF((k0six/((POWER($A138,alfa06))-1)*(t0six/beta06))&gt;Lco瞬跳時間6,k0six/((POWER($A138,alfa06))-1)*(t0six/beta06),Lco瞬跳時間6)," ")</f>
        <v>0.73641841557330789</v>
      </c>
      <c r="AC138">
        <f t="shared" si="86"/>
        <v>5000</v>
      </c>
      <c r="AD138">
        <f t="shared" si="87"/>
        <v>300</v>
      </c>
    </row>
    <row r="139" spans="1:30">
      <c r="A139">
        <v>132</v>
      </c>
      <c r="B139">
        <f t="shared" si="72"/>
        <v>0.05</v>
      </c>
      <c r="C139">
        <f>IF(协调曲线图!$S$8="是，LCO绘图",IF((k0one/((POWER($A139,alfa01))-1)*(t0one/beta01))&gt;Lco瞬跳時間1,k0one/((POWER($A139,alfa01))-1)*(t0one/beta01),Lco瞬跳時間1)," ")</f>
        <v>0.22975458669180085</v>
      </c>
      <c r="D139">
        <f t="shared" si="88"/>
        <v>1050</v>
      </c>
      <c r="E139">
        <f t="shared" si="89"/>
        <v>150</v>
      </c>
      <c r="G139">
        <f t="shared" si="73"/>
        <v>0.25</v>
      </c>
      <c r="H139">
        <f>IF(协调曲线图!$S$15="是，LCO绘图",IF((k0two/((POWER($A139,alfa02))-1)*(t0two/beta02))&gt;Lco瞬跳時間2,k0two/((POWER($A139,alfa02))-1)*(t0two/beta02),Lco瞬跳時間2)," ")</f>
        <v>0.32165642136852118</v>
      </c>
      <c r="I139">
        <f t="shared" si="74"/>
        <v>1500</v>
      </c>
      <c r="J139">
        <f t="shared" si="75"/>
        <v>150</v>
      </c>
      <c r="L139">
        <f t="shared" si="76"/>
        <v>0.45</v>
      </c>
      <c r="M139">
        <f>IF(协调曲线图!$S$22="是，LCO绘图",IF((k0three/((POWER($A139,alfa03))-1)*(t0three/beta03))&gt;Lco瞬跳時間3,k0three/((POWER($A139,alfa03))-1)*(t0three/beta03),Lco瞬跳時間3)," ")</f>
        <v>0.4135582560452416</v>
      </c>
      <c r="N139">
        <f t="shared" si="77"/>
        <v>2000</v>
      </c>
      <c r="O139">
        <f t="shared" si="78"/>
        <v>150</v>
      </c>
      <c r="Q139">
        <f t="shared" si="79"/>
        <v>0.65</v>
      </c>
      <c r="R139">
        <f>IF(协调曲线图!$S$29="是，LCO绘图",IF((k0four/((POWER($A139,alfa04))-1)*(t0four/beta04))&gt;Lco瞬跳時間4,k0four/((POWER($A139,alfa04))-1)*(t0four/beta04),Lco瞬跳時間4)," ")</f>
        <v>0.50546009072196185</v>
      </c>
      <c r="S139">
        <f t="shared" si="80"/>
        <v>2500</v>
      </c>
      <c r="T139">
        <f t="shared" si="81"/>
        <v>150</v>
      </c>
      <c r="V139">
        <f t="shared" si="82"/>
        <v>0.85</v>
      </c>
      <c r="W139">
        <f>IF(协调曲线图!$S$36="是，LCO绘图",IF((k0five/((POWER($A139,alfa05))-1)*(t0five/beta05))&gt;Lco瞬跳時間5,k0five/((POWER($A139,alfa05))-1)*(t0five/beta05),Lco瞬跳時間5)," ")</f>
        <v>0.59736192539868227</v>
      </c>
      <c r="X139">
        <f t="shared" si="83"/>
        <v>3000</v>
      </c>
      <c r="Y139">
        <f t="shared" si="84"/>
        <v>150</v>
      </c>
      <c r="AA139">
        <f t="shared" si="85"/>
        <v>1.05</v>
      </c>
      <c r="AB139">
        <f>IF(协调曲线图!$S$43="是，LCO绘图",IF((k0six/((POWER($A139,alfa06))-1)*(t0six/beta06))&gt;Lco瞬跳時間6,k0six/((POWER($A139,alfa06))-1)*(t0six/beta06),Lco瞬跳時間6)," ")</f>
        <v>0.73521467741376278</v>
      </c>
      <c r="AC139">
        <f t="shared" si="86"/>
        <v>5000</v>
      </c>
      <c r="AD139">
        <f t="shared" si="87"/>
        <v>300</v>
      </c>
    </row>
    <row r="140" spans="1:30">
      <c r="A140">
        <v>133</v>
      </c>
      <c r="B140">
        <f t="shared" si="72"/>
        <v>0.05</v>
      </c>
      <c r="C140">
        <f>IF(协调曲线图!$S$8="是，LCO绘图",IF((k0one/((POWER($A140,alfa01))-1)*(t0one/beta01))&gt;Lco瞬跳時間1,k0one/((POWER($A140,alfa01))-1)*(t0one/beta01),Lco瞬跳時間1)," ")</f>
        <v>0.22938241515521643</v>
      </c>
      <c r="D140">
        <f t="shared" si="88"/>
        <v>1050</v>
      </c>
      <c r="E140">
        <f t="shared" si="89"/>
        <v>150</v>
      </c>
      <c r="G140">
        <f t="shared" si="73"/>
        <v>0.25</v>
      </c>
      <c r="H140">
        <f>IF(协调曲线图!$S$15="是，LCO绘图",IF((k0two/((POWER($A140,alfa02))-1)*(t0two/beta02))&gt;Lco瞬跳時間2,k0two/((POWER($A140,alfa02))-1)*(t0two/beta02),Lco瞬跳時間2)," ")</f>
        <v>0.32113538121730301</v>
      </c>
      <c r="I140">
        <f t="shared" si="74"/>
        <v>1500</v>
      </c>
      <c r="J140">
        <f t="shared" si="75"/>
        <v>150</v>
      </c>
      <c r="L140">
        <f t="shared" si="76"/>
        <v>0.45</v>
      </c>
      <c r="M140">
        <f>IF(协调曲线图!$S$22="是，LCO绘图",IF((k0three/((POWER($A140,alfa03))-1)*(t0three/beta03))&gt;Lco瞬跳時間3,k0three/((POWER($A140,alfa03))-1)*(t0three/beta03),Lco瞬跳時間3)," ")</f>
        <v>0.41288834727938967</v>
      </c>
      <c r="N140">
        <f t="shared" si="77"/>
        <v>2000</v>
      </c>
      <c r="O140">
        <f t="shared" si="78"/>
        <v>150</v>
      </c>
      <c r="Q140">
        <f t="shared" si="79"/>
        <v>0.65</v>
      </c>
      <c r="R140">
        <f>IF(协调曲线图!$S$29="是，LCO绘图",IF((k0four/((POWER($A140,alfa04))-1)*(t0four/beta04))&gt;Lco瞬跳時間4,k0four/((POWER($A140,alfa04))-1)*(t0four/beta04),Lco瞬跳時間4)," ")</f>
        <v>0.50464131334147622</v>
      </c>
      <c r="S140">
        <f t="shared" si="80"/>
        <v>2500</v>
      </c>
      <c r="T140">
        <f t="shared" si="81"/>
        <v>150</v>
      </c>
      <c r="V140">
        <f t="shared" si="82"/>
        <v>0.85</v>
      </c>
      <c r="W140">
        <f>IF(协调曲线图!$S$36="是，LCO绘图",IF((k0five/((POWER($A140,alfa05))-1)*(t0five/beta05))&gt;Lco瞬跳時間5,k0five/((POWER($A140,alfa05))-1)*(t0five/beta05),Lco瞬跳時間5)," ")</f>
        <v>0.59639427940356282</v>
      </c>
      <c r="X140">
        <f t="shared" si="83"/>
        <v>3000</v>
      </c>
      <c r="Y140">
        <f t="shared" si="84"/>
        <v>150</v>
      </c>
      <c r="AA140">
        <f t="shared" si="85"/>
        <v>1.05</v>
      </c>
      <c r="AB140">
        <f>IF(协调曲线图!$S$43="是，LCO绘图",IF((k0six/((POWER($A140,alfa06))-1)*(t0six/beta06))&gt;Lco瞬跳時間6,k0six/((POWER($A140,alfa06))-1)*(t0six/beta06),Lco瞬跳時間6)," ")</f>
        <v>0.73402372849669262</v>
      </c>
      <c r="AC140">
        <f t="shared" si="86"/>
        <v>5000</v>
      </c>
      <c r="AD140">
        <f t="shared" si="87"/>
        <v>300</v>
      </c>
    </row>
    <row r="141" spans="1:30">
      <c r="A141">
        <v>134</v>
      </c>
      <c r="B141">
        <f t="shared" si="72"/>
        <v>0.05</v>
      </c>
      <c r="C141">
        <f>IF(协调曲线图!$S$8="是，LCO绘图",IF((k0one/((POWER($A141,alfa01))-1)*(t0one/beta01))&gt;Lco瞬跳時間1,k0one/((POWER($A141,alfa01))-1)*(t0one/beta01),Lco瞬跳時間1)," ")</f>
        <v>0.229014166470941</v>
      </c>
      <c r="D141">
        <f t="shared" si="88"/>
        <v>1050</v>
      </c>
      <c r="E141">
        <f t="shared" si="89"/>
        <v>150</v>
      </c>
      <c r="G141">
        <f t="shared" si="73"/>
        <v>0.25</v>
      </c>
      <c r="H141">
        <f>IF(协调曲线图!$S$15="是，LCO绘图",IF((k0two/((POWER($A141,alfa02))-1)*(t0two/beta02))&gt;Lco瞬跳時間2,k0two/((POWER($A141,alfa02))-1)*(t0two/beta02),Lco瞬跳時間2)," ")</f>
        <v>0.32061983305931741</v>
      </c>
      <c r="I141">
        <f t="shared" si="74"/>
        <v>1500</v>
      </c>
      <c r="J141">
        <f t="shared" si="75"/>
        <v>150</v>
      </c>
      <c r="L141">
        <f t="shared" si="76"/>
        <v>0.45</v>
      </c>
      <c r="M141">
        <f>IF(协调曲线图!$S$22="是，LCO绘图",IF((k0three/((POWER($A141,alfa03))-1)*(t0three/beta03))&gt;Lco瞬跳時間3,k0three/((POWER($A141,alfa03))-1)*(t0three/beta03),Lco瞬跳時間3)," ")</f>
        <v>0.41222549964769389</v>
      </c>
      <c r="N141">
        <f t="shared" si="77"/>
        <v>2000</v>
      </c>
      <c r="O141">
        <f t="shared" si="78"/>
        <v>150</v>
      </c>
      <c r="Q141">
        <f t="shared" si="79"/>
        <v>0.65</v>
      </c>
      <c r="R141">
        <f>IF(协调曲线图!$S$29="是，LCO绘图",IF((k0four/((POWER($A141,alfa04))-1)*(t0four/beta04))&gt;Lco瞬跳時間4,k0four/((POWER($A141,alfa04))-1)*(t0four/beta04),Lco瞬跳時間4)," ")</f>
        <v>0.50383116623607027</v>
      </c>
      <c r="S141">
        <f t="shared" si="80"/>
        <v>2500</v>
      </c>
      <c r="T141">
        <f t="shared" si="81"/>
        <v>150</v>
      </c>
      <c r="V141">
        <f t="shared" si="82"/>
        <v>0.85</v>
      </c>
      <c r="W141">
        <f>IF(协调曲线图!$S$36="是，LCO绘图",IF((k0five/((POWER($A141,alfa05))-1)*(t0five/beta05))&gt;Lco瞬跳時間5,k0five/((POWER($A141,alfa05))-1)*(t0five/beta05),Lco瞬跳時間5)," ")</f>
        <v>0.5954368328244467</v>
      </c>
      <c r="X141">
        <f t="shared" si="83"/>
        <v>3000</v>
      </c>
      <c r="Y141">
        <f t="shared" si="84"/>
        <v>150</v>
      </c>
      <c r="AA141">
        <f t="shared" si="85"/>
        <v>1.05</v>
      </c>
      <c r="AB141">
        <f>IF(协调曲线图!$S$43="是，LCO绘图",IF((k0six/((POWER($A141,alfa06))-1)*(t0six/beta06))&gt;Lco瞬跳時間6,k0six/((POWER($A141,alfa06))-1)*(t0six/beta06),Lco瞬跳時間6)," ")</f>
        <v>0.73284533270701124</v>
      </c>
      <c r="AC141">
        <f t="shared" si="86"/>
        <v>5000</v>
      </c>
      <c r="AD141">
        <f t="shared" si="87"/>
        <v>300</v>
      </c>
    </row>
    <row r="142" spans="1:30">
      <c r="A142">
        <v>135</v>
      </c>
      <c r="B142">
        <f t="shared" si="72"/>
        <v>0.05</v>
      </c>
      <c r="C142">
        <f>IF(协调曲线图!$S$8="是，LCO绘图",IF((k0one/((POWER($A142,alfa01))-1)*(t0one/beta01))&gt;Lco瞬跳時間1,k0one/((POWER($A142,alfa01))-1)*(t0one/beta01),Lco瞬跳時間1)," ")</f>
        <v>0.22864976877541351</v>
      </c>
      <c r="D142">
        <f t="shared" si="88"/>
        <v>1050</v>
      </c>
      <c r="E142">
        <f t="shared" si="89"/>
        <v>150</v>
      </c>
      <c r="G142">
        <f t="shared" si="73"/>
        <v>0.25</v>
      </c>
      <c r="H142">
        <f>IF(协调曲线图!$S$15="是，LCO绘图",IF((k0two/((POWER($A142,alfa02))-1)*(t0two/beta02))&gt;Lco瞬跳時間2,k0two/((POWER($A142,alfa02))-1)*(t0two/beta02),Lco瞬跳時間2)," ")</f>
        <v>0.32010967628557896</v>
      </c>
      <c r="I142">
        <f t="shared" si="74"/>
        <v>1500</v>
      </c>
      <c r="J142">
        <f t="shared" si="75"/>
        <v>150</v>
      </c>
      <c r="L142">
        <f t="shared" si="76"/>
        <v>0.45</v>
      </c>
      <c r="M142">
        <f>IF(协调曲线图!$S$22="是，LCO绘图",IF((k0three/((POWER($A142,alfa03))-1)*(t0three/beta03))&gt;Lco瞬跳時間3,k0three/((POWER($A142,alfa03))-1)*(t0three/beta03),Lco瞬跳時間3)," ")</f>
        <v>0.41156958379574438</v>
      </c>
      <c r="N142">
        <f t="shared" si="77"/>
        <v>2000</v>
      </c>
      <c r="O142">
        <f t="shared" si="78"/>
        <v>150</v>
      </c>
      <c r="Q142">
        <f t="shared" si="79"/>
        <v>0.65</v>
      </c>
      <c r="R142">
        <f>IF(协调曲线图!$S$29="是，LCO绘图",IF((k0four/((POWER($A142,alfa04))-1)*(t0four/beta04))&gt;Lco瞬跳時間4,k0four/((POWER($A142,alfa04))-1)*(t0four/beta04),Lco瞬跳時間4)," ")</f>
        <v>0.50302949130590979</v>
      </c>
      <c r="S142">
        <f t="shared" si="80"/>
        <v>2500</v>
      </c>
      <c r="T142">
        <f t="shared" si="81"/>
        <v>150</v>
      </c>
      <c r="V142">
        <f t="shared" si="82"/>
        <v>0.85</v>
      </c>
      <c r="W142">
        <f>IF(协调曲线图!$S$36="是，LCO绘图",IF((k0five/((POWER($A142,alfa05))-1)*(t0five/beta05))&gt;Lco瞬跳時間5,k0five/((POWER($A142,alfa05))-1)*(t0five/beta05),Lco瞬跳時間5)," ")</f>
        <v>0.59448939881607521</v>
      </c>
      <c r="X142">
        <f t="shared" si="83"/>
        <v>3000</v>
      </c>
      <c r="Y142">
        <f t="shared" si="84"/>
        <v>150</v>
      </c>
      <c r="AA142">
        <f t="shared" si="85"/>
        <v>1.05</v>
      </c>
      <c r="AB142">
        <f>IF(协调曲线图!$S$43="是，LCO绘图",IF((k0six/((POWER($A142,alfa06))-1)*(t0six/beta06))&gt;Lco瞬跳時間6,k0six/((POWER($A142,alfa06))-1)*(t0six/beta06),Lco瞬跳時間6)," ")</f>
        <v>0.73167926008132333</v>
      </c>
      <c r="AC142">
        <f t="shared" si="86"/>
        <v>5000</v>
      </c>
      <c r="AD142">
        <f t="shared" si="87"/>
        <v>300</v>
      </c>
    </row>
    <row r="143" spans="1:30">
      <c r="A143">
        <v>136</v>
      </c>
      <c r="B143">
        <f t="shared" si="72"/>
        <v>0.05</v>
      </c>
      <c r="C143">
        <f>IF(协调曲线图!$S$8="是，LCO绘图",IF((k0one/((POWER($A143,alfa01))-1)*(t0one/beta01))&gt;Lco瞬跳時間1,k0one/((POWER($A143,alfa01))-1)*(t0one/beta01),Lco瞬跳時間1)," ")</f>
        <v>0.22828915206312811</v>
      </c>
      <c r="D143">
        <f t="shared" si="88"/>
        <v>1050</v>
      </c>
      <c r="E143">
        <f t="shared" si="89"/>
        <v>150</v>
      </c>
      <c r="G143">
        <f t="shared" si="73"/>
        <v>0.25</v>
      </c>
      <c r="H143">
        <f>IF(协调曲线图!$S$15="是，LCO绘图",IF((k0two/((POWER($A143,alfa02))-1)*(t0two/beta02))&gt;Lco瞬跳時間2,k0two/((POWER($A143,alfa02))-1)*(t0two/beta02),Lco瞬跳時間2)," ")</f>
        <v>0.31960481288837933</v>
      </c>
      <c r="I143">
        <f t="shared" si="74"/>
        <v>1500</v>
      </c>
      <c r="J143">
        <f t="shared" si="75"/>
        <v>150</v>
      </c>
      <c r="L143">
        <f t="shared" si="76"/>
        <v>0.45</v>
      </c>
      <c r="M143">
        <f>IF(协调曲线图!$S$22="是，LCO绘图",IF((k0three/((POWER($A143,alfa03))-1)*(t0three/beta03))&gt;Lco瞬跳時間3,k0three/((POWER($A143,alfa03))-1)*(t0three/beta03),Lco瞬跳時間3)," ")</f>
        <v>0.41092047371363061</v>
      </c>
      <c r="N143">
        <f t="shared" si="77"/>
        <v>2000</v>
      </c>
      <c r="O143">
        <f t="shared" si="78"/>
        <v>150</v>
      </c>
      <c r="Q143">
        <f t="shared" si="79"/>
        <v>0.65</v>
      </c>
      <c r="R143">
        <f>IF(协调曲线图!$S$29="是，LCO绘图",IF((k0four/((POWER($A143,alfa04))-1)*(t0four/beta04))&gt;Lco瞬跳時間4,k0four/((POWER($A143,alfa04))-1)*(t0four/beta04),Lco瞬跳時間4)," ")</f>
        <v>0.50223613453888183</v>
      </c>
      <c r="S143">
        <f t="shared" si="80"/>
        <v>2500</v>
      </c>
      <c r="T143">
        <f t="shared" si="81"/>
        <v>150</v>
      </c>
      <c r="V143">
        <f t="shared" si="82"/>
        <v>0.85</v>
      </c>
      <c r="W143">
        <f>IF(协调曲线图!$S$36="是，LCO绘图",IF((k0five/((POWER($A143,alfa05))-1)*(t0five/beta05))&gt;Lco瞬跳時間5,k0five/((POWER($A143,alfa05))-1)*(t0five/beta05),Lco瞬跳時間5)," ")</f>
        <v>0.59355179536413316</v>
      </c>
      <c r="X143">
        <f t="shared" si="83"/>
        <v>3000</v>
      </c>
      <c r="Y143">
        <f t="shared" si="84"/>
        <v>150</v>
      </c>
      <c r="AA143">
        <f t="shared" si="85"/>
        <v>1.05</v>
      </c>
      <c r="AB143">
        <f>IF(协调曲线图!$S$43="是，LCO绘图",IF((k0six/((POWER($A143,alfa06))-1)*(t0six/beta06))&gt;Lco瞬跳時間6,k0six/((POWER($A143,alfa06))-1)*(t0six/beta06),Lco瞬跳時間6)," ")</f>
        <v>0.73052528660200999</v>
      </c>
      <c r="AC143">
        <f t="shared" si="86"/>
        <v>5000</v>
      </c>
      <c r="AD143">
        <f t="shared" si="87"/>
        <v>300</v>
      </c>
    </row>
    <row r="144" spans="1:30">
      <c r="A144">
        <v>137</v>
      </c>
      <c r="B144">
        <f t="shared" si="72"/>
        <v>0.05</v>
      </c>
      <c r="C144">
        <f>IF(协调曲线图!$S$8="是，LCO绘图",IF((k0one/((POWER($A144,alfa01))-1)*(t0one/beta01))&gt;Lco瞬跳時間1,k0one/((POWER($A144,alfa01))-1)*(t0one/beta01),Lco瞬跳時間1)," ")</f>
        <v>0.22793224812490362</v>
      </c>
      <c r="D144">
        <f t="shared" si="88"/>
        <v>1050</v>
      </c>
      <c r="E144">
        <f t="shared" si="89"/>
        <v>150</v>
      </c>
      <c r="G144">
        <f t="shared" si="73"/>
        <v>0.25</v>
      </c>
      <c r="H144">
        <f>IF(协调曲线图!$S$15="是，LCO绘图",IF((k0two/((POWER($A144,alfa02))-1)*(t0two/beta02))&gt;Lco瞬跳時間2,k0two/((POWER($A144,alfa02))-1)*(t0two/beta02),Lco瞬跳時間2)," ")</f>
        <v>0.31910514737486506</v>
      </c>
      <c r="I144">
        <f t="shared" si="74"/>
        <v>1500</v>
      </c>
      <c r="J144">
        <f t="shared" si="75"/>
        <v>150</v>
      </c>
      <c r="L144">
        <f t="shared" si="76"/>
        <v>0.45</v>
      </c>
      <c r="M144">
        <f>IF(协调曲线图!$S$22="是，LCO绘图",IF((k0three/((POWER($A144,alfa03))-1)*(t0three/beta03))&gt;Lco瞬跳時間3,k0three/((POWER($A144,alfa03))-1)*(t0three/beta03),Lco瞬跳時間3)," ")</f>
        <v>0.41027804662482659</v>
      </c>
      <c r="N144">
        <f t="shared" si="77"/>
        <v>2000</v>
      </c>
      <c r="O144">
        <f t="shared" si="78"/>
        <v>150</v>
      </c>
      <c r="Q144">
        <f t="shared" si="79"/>
        <v>0.65</v>
      </c>
      <c r="R144">
        <f>IF(协调曲线图!$S$29="是，LCO绘图",IF((k0four/((POWER($A144,alfa04))-1)*(t0four/beta04))&gt;Lco瞬跳時間4,k0four/((POWER($A144,alfa04))-1)*(t0four/beta04),Lco瞬跳時間4)," ")</f>
        <v>0.501450945874788</v>
      </c>
      <c r="S144">
        <f t="shared" si="80"/>
        <v>2500</v>
      </c>
      <c r="T144">
        <f t="shared" si="81"/>
        <v>150</v>
      </c>
      <c r="V144">
        <f t="shared" si="82"/>
        <v>0.85</v>
      </c>
      <c r="W144">
        <f>IF(协调曲线图!$S$36="是，LCO绘图",IF((k0five/((POWER($A144,alfa05))-1)*(t0five/beta05))&gt;Lco瞬跳時間5,k0five/((POWER($A144,alfa05))-1)*(t0five/beta05),Lco瞬跳時間5)," ")</f>
        <v>0.59262384512474953</v>
      </c>
      <c r="X144">
        <f t="shared" si="83"/>
        <v>3000</v>
      </c>
      <c r="Y144">
        <f t="shared" si="84"/>
        <v>150</v>
      </c>
      <c r="AA144">
        <f t="shared" si="85"/>
        <v>1.05</v>
      </c>
      <c r="AB144">
        <f>IF(协调曲线图!$S$43="是，LCO绘图",IF((k0six/((POWER($A144,alfa06))-1)*(t0six/beta06))&gt;Lco瞬跳時間6,k0six/((POWER($A144,alfa06))-1)*(t0six/beta06),Lco瞬跳時間6)," ")</f>
        <v>0.72938319399969165</v>
      </c>
      <c r="AC144">
        <f t="shared" si="86"/>
        <v>5000</v>
      </c>
      <c r="AD144">
        <f t="shared" si="87"/>
        <v>300</v>
      </c>
    </row>
    <row r="145" spans="1:30">
      <c r="A145">
        <v>138</v>
      </c>
      <c r="B145">
        <f t="shared" si="72"/>
        <v>0.05</v>
      </c>
      <c r="C145">
        <f>IF(协调曲线图!$S$8="是，LCO绘图",IF((k0one/((POWER($A145,alfa01))-1)*(t0one/beta01))&gt;Lco瞬跳時間1,k0one/((POWER($A145,alfa01))-1)*(t0one/beta01),Lco瞬跳時間1)," ")</f>
        <v>0.22757899048865393</v>
      </c>
      <c r="D145">
        <f t="shared" si="88"/>
        <v>1050</v>
      </c>
      <c r="E145">
        <f t="shared" si="89"/>
        <v>150</v>
      </c>
      <c r="G145">
        <f t="shared" si="73"/>
        <v>0.25</v>
      </c>
      <c r="H145">
        <f>IF(协调曲线图!$S$15="是，LCO绘图",IF((k0two/((POWER($A145,alfa02))-1)*(t0two/beta02))&gt;Lco瞬跳時間2,k0two/((POWER($A145,alfa02))-1)*(t0two/beta02),Lco瞬跳時間2)," ")</f>
        <v>0.31861058668411552</v>
      </c>
      <c r="I145">
        <f t="shared" si="74"/>
        <v>1500</v>
      </c>
      <c r="J145">
        <f t="shared" si="75"/>
        <v>150</v>
      </c>
      <c r="L145">
        <f t="shared" si="76"/>
        <v>0.45</v>
      </c>
      <c r="M145">
        <f>IF(协调曲线图!$S$22="是，LCO绘图",IF((k0three/((POWER($A145,alfa03))-1)*(t0three/beta03))&gt;Lco瞬跳時間3,k0three/((POWER($A145,alfa03))-1)*(t0three/beta03),Lco瞬跳時間3)," ")</f>
        <v>0.4096421828795771</v>
      </c>
      <c r="N145">
        <f t="shared" si="77"/>
        <v>2000</v>
      </c>
      <c r="O145">
        <f t="shared" si="78"/>
        <v>150</v>
      </c>
      <c r="Q145">
        <f t="shared" si="79"/>
        <v>0.65</v>
      </c>
      <c r="R145">
        <f>IF(协调曲线图!$S$29="是，LCO绘图",IF((k0four/((POWER($A145,alfa04))-1)*(t0four/beta04))&gt;Lco瞬跳時間4,k0four/((POWER($A145,alfa04))-1)*(t0four/beta04),Lco瞬跳時間4)," ")</f>
        <v>0.50067377907503863</v>
      </c>
      <c r="S145">
        <f t="shared" si="80"/>
        <v>2500</v>
      </c>
      <c r="T145">
        <f t="shared" si="81"/>
        <v>150</v>
      </c>
      <c r="V145">
        <f t="shared" si="82"/>
        <v>0.85</v>
      </c>
      <c r="W145">
        <f>IF(协调曲线图!$S$36="是，LCO绘图",IF((k0five/((POWER($A145,alfa05))-1)*(t0five/beta05))&gt;Lco瞬跳時間5,k0five/((POWER($A145,alfa05))-1)*(t0five/beta05),Lco瞬跳時間5)," ")</f>
        <v>0.59170537527050027</v>
      </c>
      <c r="X145">
        <f t="shared" si="83"/>
        <v>3000</v>
      </c>
      <c r="Y145">
        <f t="shared" si="84"/>
        <v>150</v>
      </c>
      <c r="AA145">
        <f t="shared" si="85"/>
        <v>1.05</v>
      </c>
      <c r="AB145">
        <f>IF(协调曲线图!$S$43="是，LCO绘图",IF((k0six/((POWER($A145,alfa06))-1)*(t0six/beta06))&gt;Lco瞬跳時間6,k0six/((POWER($A145,alfa06))-1)*(t0six/beta06),Lco瞬跳時間6)," ")</f>
        <v>0.72825276956369256</v>
      </c>
      <c r="AC145">
        <f t="shared" si="86"/>
        <v>5000</v>
      </c>
      <c r="AD145">
        <f t="shared" si="87"/>
        <v>300</v>
      </c>
    </row>
    <row r="146" spans="1:30">
      <c r="A146">
        <v>139</v>
      </c>
      <c r="B146">
        <f t="shared" si="72"/>
        <v>0.05</v>
      </c>
      <c r="C146">
        <f>IF(协调曲线图!$S$8="是，LCO绘图",IF((k0one/((POWER($A146,alfa01))-1)*(t0one/beta01))&gt;Lco瞬跳時間1,k0one/((POWER($A146,alfa01))-1)*(t0one/beta01),Lco瞬跳時間1)," ")</f>
        <v>0.22722931436253452</v>
      </c>
      <c r="D146">
        <f t="shared" si="88"/>
        <v>1050</v>
      </c>
      <c r="E146">
        <f t="shared" si="89"/>
        <v>150</v>
      </c>
      <c r="G146">
        <f t="shared" si="73"/>
        <v>0.25</v>
      </c>
      <c r="H146">
        <f>IF(协调曲线图!$S$15="是，LCO绘图",IF((k0two/((POWER($A146,alfa02))-1)*(t0two/beta02))&gt;Lco瞬跳時間2,k0two/((POWER($A146,alfa02))-1)*(t0two/beta02),Lco瞬跳時間2)," ")</f>
        <v>0.31812104010754833</v>
      </c>
      <c r="I146">
        <f t="shared" si="74"/>
        <v>1500</v>
      </c>
      <c r="J146">
        <f t="shared" si="75"/>
        <v>150</v>
      </c>
      <c r="L146">
        <f t="shared" si="76"/>
        <v>0.45</v>
      </c>
      <c r="M146">
        <f>IF(协调曲线图!$S$22="是，LCO绘图",IF((k0three/((POWER($A146,alfa03))-1)*(t0three/beta03))&gt;Lco瞬跳時間3,k0three/((POWER($A146,alfa03))-1)*(t0three/beta03),Lco瞬跳時間3)," ")</f>
        <v>0.40901276585256219</v>
      </c>
      <c r="N146">
        <f t="shared" si="77"/>
        <v>2000</v>
      </c>
      <c r="O146">
        <f t="shared" si="78"/>
        <v>150</v>
      </c>
      <c r="Q146">
        <f t="shared" si="79"/>
        <v>0.65</v>
      </c>
      <c r="R146">
        <f>IF(协调曲线图!$S$29="是，LCO绘图",IF((k0four/((POWER($A146,alfa04))-1)*(t0four/beta04))&gt;Lco瞬跳時間4,k0four/((POWER($A146,alfa04))-1)*(t0four/beta04),Lco瞬跳時間4)," ")</f>
        <v>0.49990449159757594</v>
      </c>
      <c r="S146">
        <f t="shared" si="80"/>
        <v>2500</v>
      </c>
      <c r="T146">
        <f t="shared" si="81"/>
        <v>150</v>
      </c>
      <c r="V146">
        <f t="shared" si="82"/>
        <v>0.85</v>
      </c>
      <c r="W146">
        <f>IF(协调曲线图!$S$36="是，LCO绘图",IF((k0five/((POWER($A146,alfa05))-1)*(t0five/beta05))&gt;Lco瞬跳時間5,k0five/((POWER($A146,alfa05))-1)*(t0five/beta05),Lco瞬跳時間5)," ")</f>
        <v>0.5907962173425898</v>
      </c>
      <c r="X146">
        <f t="shared" si="83"/>
        <v>3000</v>
      </c>
      <c r="Y146">
        <f t="shared" si="84"/>
        <v>150</v>
      </c>
      <c r="AA146">
        <f t="shared" si="85"/>
        <v>1.05</v>
      </c>
      <c r="AB146">
        <f>IF(协调曲线图!$S$43="是，LCO绘图",IF((k0six/((POWER($A146,alfa06))-1)*(t0six/beta06))&gt;Lco瞬跳時間6,k0six/((POWER($A146,alfa06))-1)*(t0six/beta06),Lco瞬跳時間6)," ")</f>
        <v>0.72713380596011046</v>
      </c>
      <c r="AC146">
        <f t="shared" si="86"/>
        <v>5000</v>
      </c>
      <c r="AD146">
        <f t="shared" si="87"/>
        <v>300</v>
      </c>
    </row>
    <row r="147" spans="1:30">
      <c r="A147">
        <v>140</v>
      </c>
      <c r="B147">
        <f t="shared" si="72"/>
        <v>0.05</v>
      </c>
      <c r="C147">
        <f>IF(协调曲线图!$S$8="是，LCO绘图",IF((k0one/((POWER($A147,alfa01))-1)*(t0one/beta01))&gt;Lco瞬跳時間1,k0one/((POWER($A147,alfa01))-1)*(t0one/beta01),Lco瞬跳時間1)," ")</f>
        <v>0.22688315658035299</v>
      </c>
      <c r="D147">
        <f t="shared" si="88"/>
        <v>1050</v>
      </c>
      <c r="E147">
        <f t="shared" si="89"/>
        <v>150</v>
      </c>
      <c r="G147">
        <f t="shared" si="73"/>
        <v>0.25</v>
      </c>
      <c r="H147">
        <f>IF(协调曲线图!$S$15="是，LCO绘图",IF((k0two/((POWER($A147,alfa02))-1)*(t0two/beta02))&gt;Lco瞬跳時間2,k0two/((POWER($A147,alfa02))-1)*(t0two/beta02),Lco瞬跳時間2)," ")</f>
        <v>0.31763641921249419</v>
      </c>
      <c r="I147">
        <f t="shared" si="74"/>
        <v>1500</v>
      </c>
      <c r="J147">
        <f t="shared" si="75"/>
        <v>150</v>
      </c>
      <c r="L147">
        <f t="shared" si="76"/>
        <v>0.45</v>
      </c>
      <c r="M147">
        <f>IF(协调曲线图!$S$22="是，LCO绘图",IF((k0three/((POWER($A147,alfa03))-1)*(t0three/beta03))&gt;Lco瞬跳時間3,k0three/((POWER($A147,alfa03))-1)*(t0three/beta03),Lco瞬跳時間3)," ")</f>
        <v>0.40838968184463542</v>
      </c>
      <c r="N147">
        <f t="shared" si="77"/>
        <v>2000</v>
      </c>
      <c r="O147">
        <f t="shared" si="78"/>
        <v>150</v>
      </c>
      <c r="Q147">
        <f t="shared" si="79"/>
        <v>0.65</v>
      </c>
      <c r="R147">
        <f>IF(协调曲线图!$S$29="是，LCO绘图",IF((k0four/((POWER($A147,alfa04))-1)*(t0four/beta04))&gt;Lco瞬跳時間4,k0four/((POWER($A147,alfa04))-1)*(t0four/beta04),Lco瞬跳時間4)," ")</f>
        <v>0.4991429444767766</v>
      </c>
      <c r="S147">
        <f t="shared" si="80"/>
        <v>2500</v>
      </c>
      <c r="T147">
        <f t="shared" si="81"/>
        <v>150</v>
      </c>
      <c r="V147">
        <f t="shared" si="82"/>
        <v>0.85</v>
      </c>
      <c r="W147">
        <f>IF(协调曲线图!$S$36="是，LCO绘图",IF((k0five/((POWER($A147,alfa05))-1)*(t0five/beta05))&gt;Lco瞬跳時間5,k0five/((POWER($A147,alfa05))-1)*(t0five/beta05),Lco瞬跳時間5)," ")</f>
        <v>0.58989620710891777</v>
      </c>
      <c r="X147">
        <f t="shared" si="83"/>
        <v>3000</v>
      </c>
      <c r="Y147">
        <f t="shared" si="84"/>
        <v>150</v>
      </c>
      <c r="AA147">
        <f t="shared" si="85"/>
        <v>1.05</v>
      </c>
      <c r="AB147">
        <f>IF(协调曲线图!$S$43="是，LCO绘图",IF((k0six/((POWER($A147,alfa06))-1)*(t0six/beta06))&gt;Lco瞬跳時間6,k0six/((POWER($A147,alfa06))-1)*(t0six/beta06),Lco瞬跳時間6)," ")</f>
        <v>0.72602610105712961</v>
      </c>
      <c r="AC147">
        <f t="shared" si="86"/>
        <v>5000</v>
      </c>
      <c r="AD147">
        <f t="shared" si="87"/>
        <v>300</v>
      </c>
    </row>
    <row r="148" spans="1:30">
      <c r="A148">
        <v>141</v>
      </c>
      <c r="B148">
        <f t="shared" si="72"/>
        <v>0.05</v>
      </c>
      <c r="C148">
        <f>IF(协调曲线图!$S$8="是，LCO绘图",IF((k0one/((POWER($A148,alfa01))-1)*(t0one/beta01))&gt;Lco瞬跳時間1,k0one/((POWER($A148,alfa01))-1)*(t0one/beta01),Lco瞬跳時間1)," ")</f>
        <v>0.22654045554914412</v>
      </c>
      <c r="D148">
        <f t="shared" si="88"/>
        <v>1050</v>
      </c>
      <c r="E148">
        <f t="shared" si="89"/>
        <v>150</v>
      </c>
      <c r="G148">
        <f t="shared" si="73"/>
        <v>0.25</v>
      </c>
      <c r="H148">
        <f>IF(协调曲线图!$S$15="是，LCO绘图",IF((k0two/((POWER($A148,alfa02))-1)*(t0two/beta02))&gt;Lco瞬跳時間2,k0two/((POWER($A148,alfa02))-1)*(t0two/beta02),Lco瞬跳時間2)," ")</f>
        <v>0.31715663776880176</v>
      </c>
      <c r="I148">
        <f t="shared" si="74"/>
        <v>1500</v>
      </c>
      <c r="J148">
        <f t="shared" si="75"/>
        <v>150</v>
      </c>
      <c r="L148">
        <f t="shared" si="76"/>
        <v>0.45</v>
      </c>
      <c r="M148">
        <f>IF(协调曲线图!$S$22="是，LCO绘图",IF((k0three/((POWER($A148,alfa03))-1)*(t0three/beta03))&gt;Lco瞬跳時間3,k0three/((POWER($A148,alfa03))-1)*(t0three/beta03),Lco瞬跳時間3)," ")</f>
        <v>0.40777281998845949</v>
      </c>
      <c r="N148">
        <f t="shared" si="77"/>
        <v>2000</v>
      </c>
      <c r="O148">
        <f t="shared" si="78"/>
        <v>150</v>
      </c>
      <c r="Q148">
        <f t="shared" si="79"/>
        <v>0.65</v>
      </c>
      <c r="R148">
        <f>IF(协调曲线图!$S$29="是，LCO绘图",IF((k0four/((POWER($A148,alfa04))-1)*(t0four/beta04))&gt;Lco瞬跳時間4,k0four/((POWER($A148,alfa04))-1)*(t0four/beta04),Lco瞬跳時間4)," ")</f>
        <v>0.4983890022081171</v>
      </c>
      <c r="S148">
        <f t="shared" si="80"/>
        <v>2500</v>
      </c>
      <c r="T148">
        <f t="shared" si="81"/>
        <v>150</v>
      </c>
      <c r="V148">
        <f t="shared" si="82"/>
        <v>0.85</v>
      </c>
      <c r="W148">
        <f>IF(协调曲线图!$S$36="是，LCO绘图",IF((k0five/((POWER($A148,alfa05))-1)*(t0five/beta05))&gt;Lco瞬跳時間5,k0five/((POWER($A148,alfa05))-1)*(t0five/beta05),Lco瞬跳時間5)," ")</f>
        <v>0.58900518442777483</v>
      </c>
      <c r="X148">
        <f t="shared" si="83"/>
        <v>3000</v>
      </c>
      <c r="Y148">
        <f t="shared" si="84"/>
        <v>150</v>
      </c>
      <c r="AA148">
        <f t="shared" si="85"/>
        <v>1.05</v>
      </c>
      <c r="AB148">
        <f>IF(协调曲线图!$S$43="是，LCO绘图",IF((k0six/((POWER($A148,alfa06))-1)*(t0six/beta06))&gt;Lco瞬跳時間6,k0six/((POWER($A148,alfa06))-1)*(t0six/beta06),Lco瞬跳時間6)," ")</f>
        <v>0.72492945775726125</v>
      </c>
      <c r="AC148">
        <f t="shared" si="86"/>
        <v>5000</v>
      </c>
      <c r="AD148">
        <f t="shared" si="87"/>
        <v>300</v>
      </c>
    </row>
    <row r="149" spans="1:30">
      <c r="A149">
        <v>142</v>
      </c>
      <c r="B149">
        <f t="shared" si="72"/>
        <v>0.05</v>
      </c>
      <c r="C149">
        <f>IF(协调曲线图!$S$8="是，LCO绘图",IF((k0one/((POWER($A149,alfa01))-1)*(t0one/beta01))&gt;Lco瞬跳時間1,k0one/((POWER($A149,alfa01))-1)*(t0one/beta01),Lco瞬跳時間1)," ")</f>
        <v>0.22620115119879763</v>
      </c>
      <c r="D149">
        <f t="shared" si="88"/>
        <v>1050</v>
      </c>
      <c r="E149">
        <f t="shared" si="89"/>
        <v>150</v>
      </c>
      <c r="G149">
        <f t="shared" si="73"/>
        <v>0.25</v>
      </c>
      <c r="H149">
        <f>IF(协调曲线图!$S$15="是，LCO绘图",IF((k0two/((POWER($A149,alfa02))-1)*(t0two/beta02))&gt;Lco瞬跳時間2,k0two/((POWER($A149,alfa02))-1)*(t0two/beta02),Lco瞬跳時間2)," ")</f>
        <v>0.31668161167831671</v>
      </c>
      <c r="I149">
        <f t="shared" si="74"/>
        <v>1500</v>
      </c>
      <c r="J149">
        <f t="shared" si="75"/>
        <v>150</v>
      </c>
      <c r="L149">
        <f t="shared" si="76"/>
        <v>0.45</v>
      </c>
      <c r="M149">
        <f>IF(协调曲线图!$S$22="是，LCO绘图",IF((k0three/((POWER($A149,alfa03))-1)*(t0three/beta03))&gt;Lco瞬跳時間3,k0three/((POWER($A149,alfa03))-1)*(t0three/beta03),Lco瞬跳時間3)," ")</f>
        <v>0.40716207215783579</v>
      </c>
      <c r="N149">
        <f t="shared" si="77"/>
        <v>2000</v>
      </c>
      <c r="O149">
        <f t="shared" si="78"/>
        <v>150</v>
      </c>
      <c r="Q149">
        <f t="shared" si="79"/>
        <v>0.65</v>
      </c>
      <c r="R149">
        <f>IF(协调曲线图!$S$29="是，LCO绘图",IF((k0four/((POWER($A149,alfa04))-1)*(t0four/beta04))&gt;Lco瞬跳時間4,k0four/((POWER($A149,alfa04))-1)*(t0four/beta04),Lco瞬跳時間4)," ")</f>
        <v>0.49764253263735481</v>
      </c>
      <c r="S149">
        <f t="shared" si="80"/>
        <v>2500</v>
      </c>
      <c r="T149">
        <f t="shared" si="81"/>
        <v>150</v>
      </c>
      <c r="V149">
        <f t="shared" si="82"/>
        <v>0.85</v>
      </c>
      <c r="W149">
        <f>IF(协调曲线图!$S$36="是，LCO绘图",IF((k0five/((POWER($A149,alfa05))-1)*(t0five/beta05))&gt;Lco瞬跳時間5,k0five/((POWER($A149,alfa05))-1)*(t0five/beta05),Lco瞬跳時間5)," ")</f>
        <v>0.58812299311687388</v>
      </c>
      <c r="X149">
        <f t="shared" si="83"/>
        <v>3000</v>
      </c>
      <c r="Y149">
        <f t="shared" si="84"/>
        <v>150</v>
      </c>
      <c r="AA149">
        <f t="shared" si="85"/>
        <v>1.05</v>
      </c>
      <c r="AB149">
        <f>IF(协调曲线图!$S$43="是，LCO绘图",IF((k0six/((POWER($A149,alfa06))-1)*(t0six/beta06))&gt;Lco瞬跳時間6,k0six/((POWER($A149,alfa06))-1)*(t0six/beta06),Lco瞬跳時間6)," ")</f>
        <v>0.7238436838361525</v>
      </c>
      <c r="AC149">
        <f t="shared" si="86"/>
        <v>5000</v>
      </c>
      <c r="AD149">
        <f t="shared" si="87"/>
        <v>300</v>
      </c>
    </row>
    <row r="150" spans="1:30">
      <c r="A150">
        <v>143</v>
      </c>
      <c r="B150">
        <f t="shared" si="72"/>
        <v>0.05</v>
      </c>
      <c r="C150">
        <f>IF(协调曲线图!$S$8="是，LCO绘图",IF((k0one/((POWER($A150,alfa01))-1)*(t0one/beta01))&gt;Lco瞬跳時間1,k0one/((POWER($A150,alfa01))-1)*(t0one/beta01),Lco瞬跳時間1)," ")</f>
        <v>0.22586518493365493</v>
      </c>
      <c r="D150">
        <f t="shared" si="88"/>
        <v>1050</v>
      </c>
      <c r="E150">
        <f t="shared" si="89"/>
        <v>150</v>
      </c>
      <c r="G150">
        <f t="shared" si="73"/>
        <v>0.25</v>
      </c>
      <c r="H150">
        <f>IF(协调曲线图!$S$15="是，LCO绘图",IF((k0two/((POWER($A150,alfa02))-1)*(t0two/beta02))&gt;Lco瞬跳時間2,k0two/((POWER($A150,alfa02))-1)*(t0two/beta02),Lco瞬跳時間2)," ")</f>
        <v>0.31621125890711693</v>
      </c>
      <c r="I150">
        <f t="shared" si="74"/>
        <v>1500</v>
      </c>
      <c r="J150">
        <f t="shared" si="75"/>
        <v>150</v>
      </c>
      <c r="L150">
        <f t="shared" si="76"/>
        <v>0.45</v>
      </c>
      <c r="M150">
        <f>IF(协调曲线图!$S$22="是，LCO绘图",IF((k0three/((POWER($A150,alfa03))-1)*(t0three/beta03))&gt;Lco瞬跳時間3,k0three/((POWER($A150,alfa03))-1)*(t0three/beta03),Lco瞬跳時間3)," ")</f>
        <v>0.40655733288057894</v>
      </c>
      <c r="N150">
        <f t="shared" si="77"/>
        <v>2000</v>
      </c>
      <c r="O150">
        <f t="shared" si="78"/>
        <v>150</v>
      </c>
      <c r="Q150">
        <f t="shared" si="79"/>
        <v>0.65</v>
      </c>
      <c r="R150">
        <f>IF(协调曲线图!$S$29="是，LCO绘图",IF((k0four/((POWER($A150,alfa04))-1)*(t0four/beta04))&gt;Lco瞬跳時間4,k0four/((POWER($A150,alfa04))-1)*(t0four/beta04),Lco瞬跳時間4)," ")</f>
        <v>0.49690340685404089</v>
      </c>
      <c r="S150">
        <f t="shared" si="80"/>
        <v>2500</v>
      </c>
      <c r="T150">
        <f t="shared" si="81"/>
        <v>150</v>
      </c>
      <c r="V150">
        <f t="shared" si="82"/>
        <v>0.85</v>
      </c>
      <c r="W150">
        <f>IF(协调曲线图!$S$36="是，LCO绘图",IF((k0five/((POWER($A150,alfa05))-1)*(t0five/beta05))&gt;Lco瞬跳時間5,k0five/((POWER($A150,alfa05))-1)*(t0five/beta05),Lco瞬跳時間5)," ")</f>
        <v>0.58724948082750283</v>
      </c>
      <c r="X150">
        <f t="shared" si="83"/>
        <v>3000</v>
      </c>
      <c r="Y150">
        <f t="shared" si="84"/>
        <v>150</v>
      </c>
      <c r="AA150">
        <f t="shared" si="85"/>
        <v>1.05</v>
      </c>
      <c r="AB150">
        <f>IF(协调曲线图!$S$43="是，LCO绘图",IF((k0six/((POWER($A150,alfa06))-1)*(t0six/beta06))&gt;Lco瞬跳時間6,k0six/((POWER($A150,alfa06))-1)*(t0six/beta06),Lco瞬跳時間6)," ")</f>
        <v>0.72276859178769581</v>
      </c>
      <c r="AC150">
        <f t="shared" si="86"/>
        <v>5000</v>
      </c>
      <c r="AD150">
        <f t="shared" si="87"/>
        <v>300</v>
      </c>
    </row>
    <row r="151" spans="1:30">
      <c r="A151">
        <v>144</v>
      </c>
      <c r="B151">
        <f t="shared" si="72"/>
        <v>0.05</v>
      </c>
      <c r="C151">
        <f>IF(协调曲线图!$S$8="是，LCO绘图",IF((k0one/((POWER($A151,alfa01))-1)*(t0one/beta01))&gt;Lco瞬跳時間1,k0one/((POWER($A151,alfa01))-1)*(t0one/beta01),Lco瞬跳時間1)," ")</f>
        <v>0.22553249958597868</v>
      </c>
      <c r="D151">
        <f t="shared" si="88"/>
        <v>1050</v>
      </c>
      <c r="E151">
        <f t="shared" si="89"/>
        <v>150</v>
      </c>
      <c r="G151">
        <f t="shared" si="73"/>
        <v>0.25</v>
      </c>
      <c r="H151">
        <f>IF(协调曲线图!$S$15="是，LCO绘图",IF((k0two/((POWER($A151,alfa02))-1)*(t0two/beta02))&gt;Lco瞬跳時間2,k0two/((POWER($A151,alfa02))-1)*(t0two/beta02),Lco瞬跳時間2)," ")</f>
        <v>0.31574549942037017</v>
      </c>
      <c r="I151">
        <f t="shared" si="74"/>
        <v>1500</v>
      </c>
      <c r="J151">
        <f t="shared" si="75"/>
        <v>150</v>
      </c>
      <c r="L151">
        <f t="shared" si="76"/>
        <v>0.45</v>
      </c>
      <c r="M151">
        <f>IF(协调曲线图!$S$22="是，LCO绘图",IF((k0three/((POWER($A151,alfa03))-1)*(t0three/beta03))&gt;Lco瞬跳時間3,k0three/((POWER($A151,alfa03))-1)*(t0three/beta03),Lco瞬跳時間3)," ")</f>
        <v>0.40595849925476163</v>
      </c>
      <c r="N151">
        <f t="shared" si="77"/>
        <v>2000</v>
      </c>
      <c r="O151">
        <f t="shared" si="78"/>
        <v>150</v>
      </c>
      <c r="Q151">
        <f t="shared" si="79"/>
        <v>0.65</v>
      </c>
      <c r="R151">
        <f>IF(协调曲线图!$S$29="是，LCO绘图",IF((k0four/((POWER($A151,alfa04))-1)*(t0four/beta04))&gt;Lco瞬跳時間4,k0four/((POWER($A151,alfa04))-1)*(t0four/beta04),Lco瞬跳時間4)," ")</f>
        <v>0.49617149908915309</v>
      </c>
      <c r="S151">
        <f t="shared" si="80"/>
        <v>2500</v>
      </c>
      <c r="T151">
        <f t="shared" si="81"/>
        <v>150</v>
      </c>
      <c r="V151">
        <f t="shared" si="82"/>
        <v>0.85</v>
      </c>
      <c r="W151">
        <f>IF(协调曲线图!$S$36="是，LCO绘图",IF((k0five/((POWER($A151,alfa05))-1)*(t0five/beta05))&gt;Lco瞬跳時間5,k0five/((POWER($A151,alfa05))-1)*(t0five/beta05),Lco瞬跳時間5)," ")</f>
        <v>0.58638449892354461</v>
      </c>
      <c r="X151">
        <f t="shared" si="83"/>
        <v>3000</v>
      </c>
      <c r="Y151">
        <f t="shared" si="84"/>
        <v>150</v>
      </c>
      <c r="AA151">
        <f t="shared" si="85"/>
        <v>1.05</v>
      </c>
      <c r="AB151">
        <f>IF(协调曲线图!$S$43="是，LCO绘图",IF((k0six/((POWER($A151,alfa06))-1)*(t0six/beta06))&gt;Lco瞬跳時間6,k0six/((POWER($A151,alfa06))-1)*(t0six/beta06),Lco瞬跳時間6)," ")</f>
        <v>0.7217039986751318</v>
      </c>
      <c r="AC151">
        <f t="shared" si="86"/>
        <v>5000</v>
      </c>
      <c r="AD151">
        <f t="shared" si="87"/>
        <v>300</v>
      </c>
    </row>
    <row r="152" spans="1:30">
      <c r="A152">
        <v>145</v>
      </c>
      <c r="B152">
        <f t="shared" si="72"/>
        <v>0.05</v>
      </c>
      <c r="C152">
        <f>IF(协调曲线图!$S$8="是，LCO绘图",IF((k0one/((POWER($A152,alfa01))-1)*(t0one/beta01))&gt;Lco瞬跳時間1,k0one/((POWER($A152,alfa01))-1)*(t0one/beta01),Lco瞬跳時間1)," ")</f>
        <v>0.22520303937120878</v>
      </c>
      <c r="D152">
        <f t="shared" si="88"/>
        <v>1050</v>
      </c>
      <c r="E152">
        <f t="shared" si="89"/>
        <v>150</v>
      </c>
      <c r="G152">
        <f t="shared" si="73"/>
        <v>0.25</v>
      </c>
      <c r="H152">
        <f>IF(协调曲线图!$S$15="是，LCO绘图",IF((k0two/((POWER($A152,alfa02))-1)*(t0two/beta02))&gt;Lco瞬跳時間2,k0two/((POWER($A152,alfa02))-1)*(t0two/beta02),Lco瞬跳時間2)," ")</f>
        <v>0.31528425511969232</v>
      </c>
      <c r="I152">
        <f t="shared" si="74"/>
        <v>1500</v>
      </c>
      <c r="J152">
        <f t="shared" si="75"/>
        <v>150</v>
      </c>
      <c r="L152">
        <f t="shared" si="76"/>
        <v>0.45</v>
      </c>
      <c r="M152">
        <f>IF(协调曲线图!$S$22="是，LCO绘图",IF((k0three/((POWER($A152,alfa03))-1)*(t0three/beta03))&gt;Lco瞬跳時間3,k0three/((POWER($A152,alfa03))-1)*(t0three/beta03),Lco瞬跳時間3)," ")</f>
        <v>0.40536547086817587</v>
      </c>
      <c r="N152">
        <f t="shared" si="77"/>
        <v>2000</v>
      </c>
      <c r="O152">
        <f t="shared" si="78"/>
        <v>150</v>
      </c>
      <c r="Q152">
        <f t="shared" si="79"/>
        <v>0.65</v>
      </c>
      <c r="R152">
        <f>IF(协调曲线图!$S$29="是，LCO绘图",IF((k0four/((POWER($A152,alfa04))-1)*(t0four/beta04))&gt;Lco瞬跳時間4,k0four/((POWER($A152,alfa04))-1)*(t0four/beta04),Lco瞬跳時間4)," ")</f>
        <v>0.49544668661665936</v>
      </c>
      <c r="S152">
        <f t="shared" si="80"/>
        <v>2500</v>
      </c>
      <c r="T152">
        <f t="shared" si="81"/>
        <v>150</v>
      </c>
      <c r="V152">
        <f t="shared" si="82"/>
        <v>0.85</v>
      </c>
      <c r="W152">
        <f>IF(协调曲线图!$S$36="是，LCO绘图",IF((k0five/((POWER($A152,alfa05))-1)*(t0five/beta05))&gt;Lco瞬跳時間5,k0five/((POWER($A152,alfa05))-1)*(t0five/beta05),Lco瞬跳時間5)," ")</f>
        <v>0.58552790236514296</v>
      </c>
      <c r="X152">
        <f t="shared" si="83"/>
        <v>3000</v>
      </c>
      <c r="Y152">
        <f t="shared" si="84"/>
        <v>150</v>
      </c>
      <c r="AA152">
        <f t="shared" si="85"/>
        <v>1.05</v>
      </c>
      <c r="AB152">
        <f>IF(协调曲线图!$S$43="是，LCO绘图",IF((k0six/((POWER($A152,alfa06))-1)*(t0six/beta06))&gt;Lco瞬跳時間6,k0six/((POWER($A152,alfa06))-1)*(t0six/beta06),Lco瞬跳時間6)," ")</f>
        <v>0.72064972598786814</v>
      </c>
      <c r="AC152">
        <f t="shared" si="86"/>
        <v>5000</v>
      </c>
      <c r="AD152">
        <f t="shared" si="87"/>
        <v>300</v>
      </c>
    </row>
    <row r="153" spans="1:30">
      <c r="A153">
        <v>146</v>
      </c>
      <c r="B153">
        <f t="shared" si="72"/>
        <v>0.05</v>
      </c>
      <c r="C153">
        <f>IF(协调曲线图!$S$8="是，LCO绘图",IF((k0one/((POWER($A153,alfa01))-1)*(t0one/beta01))&gt;Lco瞬跳時間1,k0one/((POWER($A153,alfa01))-1)*(t0one/beta01),Lco瞬跳時間1)," ")</f>
        <v>0.22487674984492986</v>
      </c>
      <c r="D153">
        <f t="shared" si="88"/>
        <v>1050</v>
      </c>
      <c r="E153">
        <f t="shared" si="89"/>
        <v>150</v>
      </c>
      <c r="G153">
        <f t="shared" si="73"/>
        <v>0.25</v>
      </c>
      <c r="H153">
        <f>IF(协调曲线图!$S$15="是，LCO绘图",IF((k0two/((POWER($A153,alfa02))-1)*(t0two/beta02))&gt;Lco瞬跳時間2,k0two/((POWER($A153,alfa02))-1)*(t0two/beta02),Lco瞬跳時間2)," ")</f>
        <v>0.31482744978290184</v>
      </c>
      <c r="I153">
        <f t="shared" si="74"/>
        <v>1500</v>
      </c>
      <c r="J153">
        <f t="shared" si="75"/>
        <v>150</v>
      </c>
      <c r="L153">
        <f t="shared" si="76"/>
        <v>0.45</v>
      </c>
      <c r="M153">
        <f>IF(协调曲线图!$S$22="是，LCO绘图",IF((k0three/((POWER($A153,alfa03))-1)*(t0three/beta03))&gt;Lco瞬跳時間3,k0three/((POWER($A153,alfa03))-1)*(t0three/beta03),Lco瞬跳時間3)," ")</f>
        <v>0.40477814972087378</v>
      </c>
      <c r="N153">
        <f t="shared" si="77"/>
        <v>2000</v>
      </c>
      <c r="O153">
        <f t="shared" si="78"/>
        <v>150</v>
      </c>
      <c r="Q153">
        <f t="shared" si="79"/>
        <v>0.65</v>
      </c>
      <c r="R153">
        <f>IF(协调曲线图!$S$29="是，LCO绘图",IF((k0four/((POWER($A153,alfa04))-1)*(t0four/beta04))&gt;Lco瞬跳時間4,k0four/((POWER($A153,alfa04))-1)*(t0four/beta04),Lco瞬跳時間4)," ")</f>
        <v>0.49472884965884573</v>
      </c>
      <c r="S153">
        <f t="shared" si="80"/>
        <v>2500</v>
      </c>
      <c r="T153">
        <f t="shared" si="81"/>
        <v>150</v>
      </c>
      <c r="V153">
        <f t="shared" si="82"/>
        <v>0.85</v>
      </c>
      <c r="W153">
        <f>IF(协调曲线图!$S$36="是，LCO绘图",IF((k0five/((POWER($A153,alfa05))-1)*(t0five/beta05))&gt;Lco瞬跳時間5,k0five/((POWER($A153,alfa05))-1)*(t0five/beta05),Lco瞬跳時間5)," ")</f>
        <v>0.58467954959681767</v>
      </c>
      <c r="X153">
        <f t="shared" si="83"/>
        <v>3000</v>
      </c>
      <c r="Y153">
        <f t="shared" si="84"/>
        <v>150</v>
      </c>
      <c r="AA153">
        <f t="shared" si="85"/>
        <v>1.05</v>
      </c>
      <c r="AB153">
        <f>IF(协调曲线图!$S$43="是，LCO绘图",IF((k0six/((POWER($A153,alfa06))-1)*(t0six/beta06))&gt;Lco瞬跳時間6,k0six/((POWER($A153,alfa06))-1)*(t0six/beta06),Lco瞬跳時間6)," ")</f>
        <v>0.71960559950377567</v>
      </c>
      <c r="AC153">
        <f t="shared" si="86"/>
        <v>5000</v>
      </c>
      <c r="AD153">
        <f t="shared" si="87"/>
        <v>300</v>
      </c>
    </row>
    <row r="154" spans="1:30">
      <c r="A154">
        <v>147</v>
      </c>
      <c r="B154">
        <f t="shared" si="72"/>
        <v>0.05</v>
      </c>
      <c r="C154">
        <f>IF(协调曲线图!$S$8="是，LCO绘图",IF((k0one/((POWER($A154,alfa01))-1)*(t0one/beta01))&gt;Lco瞬跳時間1,k0one/((POWER($A154,alfa01))-1)*(t0one/beta01),Lco瞬跳時間1)," ")</f>
        <v>0.22455357786146601</v>
      </c>
      <c r="D154">
        <f t="shared" si="88"/>
        <v>1050</v>
      </c>
      <c r="E154">
        <f t="shared" si="89"/>
        <v>150</v>
      </c>
      <c r="G154">
        <f t="shared" si="73"/>
        <v>0.25</v>
      </c>
      <c r="H154">
        <f>IF(协调曲线图!$S$15="是，LCO绘图",IF((k0two/((POWER($A154,alfa02))-1)*(t0two/beta02))&gt;Lco瞬跳時間2,k0two/((POWER($A154,alfa02))-1)*(t0two/beta02),Lco瞬跳時間2)," ")</f>
        <v>0.31437500900605242</v>
      </c>
      <c r="I154">
        <f t="shared" si="74"/>
        <v>1500</v>
      </c>
      <c r="J154">
        <f t="shared" si="75"/>
        <v>150</v>
      </c>
      <c r="L154">
        <f t="shared" si="76"/>
        <v>0.45</v>
      </c>
      <c r="M154">
        <f>IF(协调曲线图!$S$22="是，LCO绘图",IF((k0three/((POWER($A154,alfa03))-1)*(t0three/beta03))&gt;Lco瞬跳時間3,k0three/((POWER($A154,alfa03))-1)*(t0three/beta03),Lco瞬跳時間3)," ")</f>
        <v>0.40419644015063888</v>
      </c>
      <c r="N154">
        <f t="shared" si="77"/>
        <v>2000</v>
      </c>
      <c r="O154">
        <f t="shared" si="78"/>
        <v>150</v>
      </c>
      <c r="Q154">
        <f t="shared" si="79"/>
        <v>0.65</v>
      </c>
      <c r="R154">
        <f>IF(协调曲线图!$S$29="是，LCO绘图",IF((k0four/((POWER($A154,alfa04))-1)*(t0four/beta04))&gt;Lco瞬跳時間4,k0four/((POWER($A154,alfa04))-1)*(t0four/beta04),Lco瞬跳時間4)," ")</f>
        <v>0.49401787129522523</v>
      </c>
      <c r="S154">
        <f t="shared" si="80"/>
        <v>2500</v>
      </c>
      <c r="T154">
        <f t="shared" si="81"/>
        <v>150</v>
      </c>
      <c r="V154">
        <f t="shared" si="82"/>
        <v>0.85</v>
      </c>
      <c r="W154">
        <f>IF(协调曲线图!$S$36="是，LCO绘图",IF((k0five/((POWER($A154,alfa05))-1)*(t0five/beta05))&gt;Lco瞬跳時間5,k0five/((POWER($A154,alfa05))-1)*(t0five/beta05),Lco瞬跳時間5)," ")</f>
        <v>0.58383930243981175</v>
      </c>
      <c r="X154">
        <f t="shared" si="83"/>
        <v>3000</v>
      </c>
      <c r="Y154">
        <f t="shared" si="84"/>
        <v>150</v>
      </c>
      <c r="AA154">
        <f t="shared" si="85"/>
        <v>1.05</v>
      </c>
      <c r="AB154">
        <f>IF(协调曲线图!$S$43="是，LCO绘图",IF((k0six/((POWER($A154,alfa06))-1)*(t0six/beta06))&gt;Lco瞬跳時間6,k0six/((POWER($A154,alfa06))-1)*(t0six/beta06),Lco瞬跳時間6)," ")</f>
        <v>0.71857144915669136</v>
      </c>
      <c r="AC154">
        <f t="shared" si="86"/>
        <v>5000</v>
      </c>
      <c r="AD154">
        <f t="shared" si="87"/>
        <v>300</v>
      </c>
    </row>
    <row r="155" spans="1:30">
      <c r="A155">
        <v>148</v>
      </c>
      <c r="B155">
        <f t="shared" si="72"/>
        <v>0.05</v>
      </c>
      <c r="C155">
        <f>IF(协调曲线图!$S$8="是，LCO绘图",IF((k0one/((POWER($A155,alfa01))-1)*(t0one/beta01))&gt;Lco瞬跳時間1,k0one/((POWER($A155,alfa01))-1)*(t0one/beta01),Lco瞬跳時間1)," ")</f>
        <v>0.224233471534038</v>
      </c>
      <c r="D155">
        <f t="shared" si="88"/>
        <v>1050</v>
      </c>
      <c r="E155">
        <f t="shared" si="89"/>
        <v>150</v>
      </c>
      <c r="G155">
        <f t="shared" si="73"/>
        <v>0.25</v>
      </c>
      <c r="H155">
        <f>IF(协调曲线图!$S$15="是，LCO绘图",IF((k0two/((POWER($A155,alfa02))-1)*(t0two/beta02))&gt;Lco瞬跳時間2,k0two/((POWER($A155,alfa02))-1)*(t0two/beta02),Lco瞬跳時間2)," ")</f>
        <v>0.3139268601476532</v>
      </c>
      <c r="I155">
        <f t="shared" si="74"/>
        <v>1500</v>
      </c>
      <c r="J155">
        <f t="shared" si="75"/>
        <v>150</v>
      </c>
      <c r="L155">
        <f t="shared" si="76"/>
        <v>0.45</v>
      </c>
      <c r="M155">
        <f>IF(协调曲线图!$S$22="是，LCO绘图",IF((k0three/((POWER($A155,alfa03))-1)*(t0three/beta03))&gt;Lco瞬跳時間3,k0three/((POWER($A155,alfa03))-1)*(t0three/beta03),Lco瞬跳時間3)," ")</f>
        <v>0.40362024876126845</v>
      </c>
      <c r="N155">
        <f t="shared" si="77"/>
        <v>2000</v>
      </c>
      <c r="O155">
        <f t="shared" si="78"/>
        <v>150</v>
      </c>
      <c r="Q155">
        <f t="shared" si="79"/>
        <v>0.65</v>
      </c>
      <c r="R155">
        <f>IF(协调曲线图!$S$29="是，LCO绘图",IF((k0four/((POWER($A155,alfa04))-1)*(t0four/beta04))&gt;Lco瞬跳時間4,k0four/((POWER($A155,alfa04))-1)*(t0four/beta04),Lco瞬跳時間4)," ")</f>
        <v>0.49331363737488365</v>
      </c>
      <c r="S155">
        <f t="shared" si="80"/>
        <v>2500</v>
      </c>
      <c r="T155">
        <f t="shared" si="81"/>
        <v>150</v>
      </c>
      <c r="V155">
        <f t="shared" si="82"/>
        <v>0.85</v>
      </c>
      <c r="W155">
        <f>IF(协调曲线图!$S$36="是，LCO绘图",IF((k0five/((POWER($A155,alfa05))-1)*(t0five/beta05))&gt;Lco瞬跳時間5,k0five/((POWER($A155,alfa05))-1)*(t0five/beta05),Lco瞬跳時間5)," ")</f>
        <v>0.58300702598849885</v>
      </c>
      <c r="X155">
        <f t="shared" si="83"/>
        <v>3000</v>
      </c>
      <c r="Y155">
        <f t="shared" si="84"/>
        <v>150</v>
      </c>
      <c r="AA155">
        <f t="shared" si="85"/>
        <v>1.05</v>
      </c>
      <c r="AB155">
        <f>IF(协调曲线图!$S$43="是，LCO绘图",IF((k0six/((POWER($A155,alfa06))-1)*(t0six/beta06))&gt;Lco瞬跳時間6,k0six/((POWER($A155,alfa06))-1)*(t0six/beta06),Lco瞬跳時間6)," ")</f>
        <v>0.7175471089089217</v>
      </c>
      <c r="AC155">
        <f t="shared" si="86"/>
        <v>5000</v>
      </c>
      <c r="AD155">
        <f t="shared" si="87"/>
        <v>300</v>
      </c>
    </row>
    <row r="156" spans="1:30">
      <c r="A156">
        <v>149</v>
      </c>
      <c r="B156">
        <f t="shared" si="72"/>
        <v>0.05</v>
      </c>
      <c r="C156">
        <f>IF(协调曲线图!$S$8="是，LCO绘图",IF((k0one/((POWER($A156,alfa01))-1)*(t0one/beta01))&gt;Lco瞬跳時間1,k0one/((POWER($A156,alfa01))-1)*(t0one/beta01),Lco瞬跳時間1)," ")</f>
        <v>0.22391638019640633</v>
      </c>
      <c r="D156">
        <f t="shared" si="88"/>
        <v>1050</v>
      </c>
      <c r="E156">
        <f t="shared" si="89"/>
        <v>150</v>
      </c>
      <c r="G156">
        <f t="shared" si="73"/>
        <v>0.25</v>
      </c>
      <c r="H156">
        <f>IF(协调曲线图!$S$15="是，LCO绘图",IF((k0two/((POWER($A156,alfa02))-1)*(t0two/beta02))&gt;Lco瞬跳時間2,k0two/((POWER($A156,alfa02))-1)*(t0two/beta02),Lco瞬跳時間2)," ")</f>
        <v>0.31348293227496887</v>
      </c>
      <c r="I156">
        <f t="shared" si="74"/>
        <v>1500</v>
      </c>
      <c r="J156">
        <f t="shared" si="75"/>
        <v>150</v>
      </c>
      <c r="L156">
        <f t="shared" si="76"/>
        <v>0.45</v>
      </c>
      <c r="M156">
        <f>IF(协调曲线图!$S$22="是，LCO绘图",IF((k0three/((POWER($A156,alfa03))-1)*(t0three/beta03))&gt;Lco瞬跳時間3,k0three/((POWER($A156,alfa03))-1)*(t0three/beta03),Lco瞬跳時間3)," ")</f>
        <v>0.4030494843535315</v>
      </c>
      <c r="N156">
        <f t="shared" si="77"/>
        <v>2000</v>
      </c>
      <c r="O156">
        <f t="shared" si="78"/>
        <v>150</v>
      </c>
      <c r="Q156">
        <f t="shared" si="79"/>
        <v>0.65</v>
      </c>
      <c r="R156">
        <f>IF(协调曲线图!$S$29="是，LCO绘图",IF((k0four/((POWER($A156,alfa04))-1)*(t0four/beta04))&gt;Lco瞬跳時間4,k0four/((POWER($A156,alfa04))-1)*(t0four/beta04),Lco瞬跳時間4)," ")</f>
        <v>0.49261603643209401</v>
      </c>
      <c r="S156">
        <f t="shared" si="80"/>
        <v>2500</v>
      </c>
      <c r="T156">
        <f t="shared" si="81"/>
        <v>150</v>
      </c>
      <c r="V156">
        <f t="shared" si="82"/>
        <v>0.85</v>
      </c>
      <c r="W156">
        <f>IF(协调曲线图!$S$36="是，LCO绘图",IF((k0five/((POWER($A156,alfa05))-1)*(t0five/beta05))&gt;Lco瞬跳時間5,k0five/((POWER($A156,alfa05))-1)*(t0five/beta05),Lco瞬跳時間5)," ")</f>
        <v>0.58218258851065652</v>
      </c>
      <c r="X156">
        <f t="shared" si="83"/>
        <v>3000</v>
      </c>
      <c r="Y156">
        <f t="shared" si="84"/>
        <v>150</v>
      </c>
      <c r="AA156">
        <f t="shared" si="85"/>
        <v>1.05</v>
      </c>
      <c r="AB156">
        <f>IF(协调曲线图!$S$43="是，LCO绘图",IF((k0six/((POWER($A156,alfa06))-1)*(t0six/beta06))&gt;Lco瞬跳時間6,k0six/((POWER($A156,alfa06))-1)*(t0six/beta06),Lco瞬跳時間6)," ")</f>
        <v>0.71653241662850031</v>
      </c>
      <c r="AC156">
        <f t="shared" si="86"/>
        <v>5000</v>
      </c>
      <c r="AD156">
        <f t="shared" si="87"/>
        <v>300</v>
      </c>
    </row>
    <row r="157" spans="1:30">
      <c r="A157">
        <v>150</v>
      </c>
      <c r="B157">
        <f t="shared" si="72"/>
        <v>0.05</v>
      </c>
      <c r="C157">
        <f>IF(协调曲线图!$S$8="是，LCO绘图",IF((k0one/((POWER($A157,alfa01))-1)*(t0one/beta01))&gt;Lco瞬跳時間1,k0one/((POWER($A157,alfa01))-1)*(t0one/beta01),Lco瞬跳時間1)," ")</f>
        <v>0.22360225436593997</v>
      </c>
      <c r="D157">
        <f t="shared" si="88"/>
        <v>1050</v>
      </c>
      <c r="E157">
        <f t="shared" si="89"/>
        <v>150</v>
      </c>
      <c r="G157">
        <f t="shared" si="73"/>
        <v>0.25</v>
      </c>
      <c r="H157">
        <f>IF(协调曲线图!$S$15="是，LCO绘图",IF((k0two/((POWER($A157,alfa02))-1)*(t0two/beta02))&gt;Lco瞬跳時間2,k0two/((POWER($A157,alfa02))-1)*(t0two/beta02),Lco瞬跳時間2)," ")</f>
        <v>0.31304315611231598</v>
      </c>
      <c r="I157">
        <f t="shared" si="74"/>
        <v>1500</v>
      </c>
      <c r="J157">
        <f t="shared" si="75"/>
        <v>150</v>
      </c>
      <c r="L157">
        <f t="shared" si="76"/>
        <v>0.45</v>
      </c>
      <c r="M157">
        <f>IF(协调曲线图!$S$22="是，LCO绘图",IF((k0three/((POWER($A157,alfa03))-1)*(t0three/beta03))&gt;Lco瞬跳時間3,k0three/((POWER($A157,alfa03))-1)*(t0three/beta03),Lco瞬跳時間3)," ")</f>
        <v>0.40248405785869196</v>
      </c>
      <c r="N157">
        <f t="shared" si="77"/>
        <v>2000</v>
      </c>
      <c r="O157">
        <f t="shared" si="78"/>
        <v>150</v>
      </c>
      <c r="Q157">
        <f t="shared" si="79"/>
        <v>0.65</v>
      </c>
      <c r="R157">
        <f>IF(协调曲线图!$S$29="是，LCO绘图",IF((k0four/((POWER($A157,alfa04))-1)*(t0four/beta04))&gt;Lco瞬跳時間4,k0four/((POWER($A157,alfa04))-1)*(t0four/beta04),Lco瞬跳時間4)," ")</f>
        <v>0.49192495960506794</v>
      </c>
      <c r="S157">
        <f t="shared" si="80"/>
        <v>2500</v>
      </c>
      <c r="T157">
        <f t="shared" si="81"/>
        <v>150</v>
      </c>
      <c r="V157">
        <f t="shared" si="82"/>
        <v>0.85</v>
      </c>
      <c r="W157">
        <f>IF(协调曲线图!$S$36="是，LCO绘图",IF((k0five/((POWER($A157,alfa05))-1)*(t0five/beta05))&gt;Lco瞬跳時間5,k0five/((POWER($A157,alfa05))-1)*(t0five/beta05),Lco瞬跳時間5)," ")</f>
        <v>0.58136586135144397</v>
      </c>
      <c r="X157">
        <f t="shared" si="83"/>
        <v>3000</v>
      </c>
      <c r="Y157">
        <f t="shared" si="84"/>
        <v>150</v>
      </c>
      <c r="AA157">
        <f t="shared" si="85"/>
        <v>1.05</v>
      </c>
      <c r="AB157">
        <f>IF(协调曲线图!$S$43="是，LCO绘图",IF((k0six/((POWER($A157,alfa06))-1)*(t0six/beta06))&gt;Lco瞬跳時間6,k0six/((POWER($A157,alfa06))-1)*(t0six/beta06),Lco瞬跳時間6)," ")</f>
        <v>0.71552721397100794</v>
      </c>
      <c r="AC157">
        <f t="shared" si="86"/>
        <v>5000</v>
      </c>
      <c r="AD157">
        <f t="shared" si="87"/>
        <v>300</v>
      </c>
    </row>
    <row r="158" spans="1:30">
      <c r="A158">
        <v>151</v>
      </c>
      <c r="B158">
        <f t="shared" si="72"/>
        <v>0.05</v>
      </c>
      <c r="C158">
        <f>IF(协调曲线图!$S$8="是，LCO绘图",IF((k0one/((POWER($A158,alfa01))-1)*(t0one/beta01))&gt;Lco瞬跳時間1,k0one/((POWER($A158,alfa01))-1)*(t0one/beta01),Lco瞬跳時間1)," ")</f>
        <v>0.22329104570804764</v>
      </c>
      <c r="D158">
        <f t="shared" si="88"/>
        <v>1050</v>
      </c>
      <c r="E158">
        <f t="shared" si="89"/>
        <v>150</v>
      </c>
      <c r="G158">
        <f t="shared" si="73"/>
        <v>0.25</v>
      </c>
      <c r="H158">
        <f>IF(协调曲线图!$S$15="是，LCO绘图",IF((k0two/((POWER($A158,alfa02))-1)*(t0two/beta02))&gt;Lco瞬跳時間2,k0two/((POWER($A158,alfa02))-1)*(t0two/beta02),Lco瞬跳時間2)," ")</f>
        <v>0.31260746399126671</v>
      </c>
      <c r="I158">
        <f t="shared" si="74"/>
        <v>1500</v>
      </c>
      <c r="J158">
        <f t="shared" si="75"/>
        <v>150</v>
      </c>
      <c r="L158">
        <f t="shared" si="76"/>
        <v>0.45</v>
      </c>
      <c r="M158">
        <f>IF(协调曲线图!$S$22="是，LCO绘图",IF((k0three/((POWER($A158,alfa03))-1)*(t0three/beta03))&gt;Lco瞬跳時間3,k0three/((POWER($A158,alfa03))-1)*(t0three/beta03),Lco瞬跳時間3)," ")</f>
        <v>0.40192388227448578</v>
      </c>
      <c r="N158">
        <f t="shared" si="77"/>
        <v>2000</v>
      </c>
      <c r="O158">
        <f t="shared" si="78"/>
        <v>150</v>
      </c>
      <c r="Q158">
        <f t="shared" si="79"/>
        <v>0.65</v>
      </c>
      <c r="R158">
        <f>IF(协调曲线图!$S$29="是，LCO绘图",IF((k0four/((POWER($A158,alfa04))-1)*(t0four/beta04))&gt;Lco瞬跳時間4,k0four/((POWER($A158,alfa04))-1)*(t0four/beta04),Lco瞬跳時間4)," ")</f>
        <v>0.49124030055770485</v>
      </c>
      <c r="S158">
        <f t="shared" si="80"/>
        <v>2500</v>
      </c>
      <c r="T158">
        <f t="shared" si="81"/>
        <v>150</v>
      </c>
      <c r="V158">
        <f t="shared" si="82"/>
        <v>0.85</v>
      </c>
      <c r="W158">
        <f>IF(协调曲线图!$S$36="是，LCO绘图",IF((k0five/((POWER($A158,alfa05))-1)*(t0five/beta05))&gt;Lco瞬跳時間5,k0five/((POWER($A158,alfa05))-1)*(t0five/beta05),Lco瞬跳時間5)," ")</f>
        <v>0.58055671884092397</v>
      </c>
      <c r="X158">
        <f t="shared" si="83"/>
        <v>3000</v>
      </c>
      <c r="Y158">
        <f t="shared" si="84"/>
        <v>150</v>
      </c>
      <c r="AA158">
        <f t="shared" si="85"/>
        <v>1.05</v>
      </c>
      <c r="AB158">
        <f>IF(协调曲线图!$S$43="是，LCO绘图",IF((k0six/((POWER($A158,alfa06))-1)*(t0six/beta06))&gt;Lco瞬跳時間6,k0six/((POWER($A158,alfa06))-1)*(t0six/beta06),Lco瞬跳時間6)," ")</f>
        <v>0.71453134626575254</v>
      </c>
      <c r="AC158">
        <f t="shared" si="86"/>
        <v>5000</v>
      </c>
      <c r="AD158">
        <f t="shared" si="87"/>
        <v>300</v>
      </c>
    </row>
    <row r="159" spans="1:30">
      <c r="A159">
        <v>152</v>
      </c>
      <c r="B159">
        <f t="shared" si="72"/>
        <v>0.05</v>
      </c>
      <c r="C159">
        <f>IF(协调曲线图!$S$8="是，LCO绘图",IF((k0one/((POWER($A159,alfa01))-1)*(t0one/beta01))&gt;Lco瞬跳時間1,k0one/((POWER($A159,alfa01))-1)*(t0one/beta01),Lco瞬跳時間1)," ")</f>
        <v>0.22298270700190953</v>
      </c>
      <c r="D159">
        <f t="shared" si="88"/>
        <v>1050</v>
      </c>
      <c r="E159">
        <f t="shared" si="89"/>
        <v>150</v>
      </c>
      <c r="G159">
        <f t="shared" si="73"/>
        <v>0.25</v>
      </c>
      <c r="H159">
        <f>IF(协调曲线图!$S$15="是，LCO绘图",IF((k0two/((POWER($A159,alfa02))-1)*(t0two/beta02))&gt;Lco瞬跳時間2,k0two/((POWER($A159,alfa02))-1)*(t0two/beta02),Lco瞬跳時間2)," ")</f>
        <v>0.31217578980267335</v>
      </c>
      <c r="I159">
        <f t="shared" si="74"/>
        <v>1500</v>
      </c>
      <c r="J159">
        <f t="shared" si="75"/>
        <v>150</v>
      </c>
      <c r="L159">
        <f t="shared" si="76"/>
        <v>0.45</v>
      </c>
      <c r="M159">
        <f>IF(协调曲线图!$S$22="是，LCO绘图",IF((k0three/((POWER($A159,alfa03))-1)*(t0three/beta03))&gt;Lco瞬跳時間3,k0three/((POWER($A159,alfa03))-1)*(t0three/beta03),Lco瞬跳時間3)," ")</f>
        <v>0.40136887260343718</v>
      </c>
      <c r="N159">
        <f t="shared" si="77"/>
        <v>2000</v>
      </c>
      <c r="O159">
        <f t="shared" si="78"/>
        <v>150</v>
      </c>
      <c r="Q159">
        <f t="shared" si="79"/>
        <v>0.65</v>
      </c>
      <c r="R159">
        <f>IF(协调曲线图!$S$29="是，LCO绘图",IF((k0four/((POWER($A159,alfa04))-1)*(t0four/beta04))&gt;Lco瞬跳時間4,k0four/((POWER($A159,alfa04))-1)*(t0four/beta04),Lco瞬跳時間4)," ")</f>
        <v>0.49056195540420094</v>
      </c>
      <c r="S159">
        <f t="shared" si="80"/>
        <v>2500</v>
      </c>
      <c r="T159">
        <f t="shared" si="81"/>
        <v>150</v>
      </c>
      <c r="V159">
        <f t="shared" si="82"/>
        <v>0.85</v>
      </c>
      <c r="W159">
        <f>IF(协调曲线图!$S$36="是，LCO绘图",IF((k0five/((POWER($A159,alfa05))-1)*(t0five/beta05))&gt;Lco瞬跳時間5,k0five/((POWER($A159,alfa05))-1)*(t0five/beta05),Lco瞬跳時間5)," ")</f>
        <v>0.57975503820496477</v>
      </c>
      <c r="X159">
        <f t="shared" si="83"/>
        <v>3000</v>
      </c>
      <c r="Y159">
        <f t="shared" si="84"/>
        <v>150</v>
      </c>
      <c r="AA159">
        <f t="shared" si="85"/>
        <v>1.05</v>
      </c>
      <c r="AB159">
        <f>IF(协调曲线图!$S$43="是，LCO绘图",IF((k0six/((POWER($A159,alfa06))-1)*(t0six/beta06))&gt;Lco瞬跳時間6,k0six/((POWER($A159,alfa06))-1)*(t0six/beta06),Lco瞬跳時間6)," ")</f>
        <v>0.71354466240611047</v>
      </c>
      <c r="AC159">
        <f t="shared" si="86"/>
        <v>5000</v>
      </c>
      <c r="AD159">
        <f t="shared" si="87"/>
        <v>300</v>
      </c>
    </row>
    <row r="160" spans="1:30">
      <c r="A160">
        <v>153</v>
      </c>
      <c r="B160">
        <f t="shared" si="72"/>
        <v>0.05</v>
      </c>
      <c r="C160">
        <f>IF(协调曲线图!$S$8="是，LCO绘图",IF((k0one/((POWER($A160,alfa01))-1)*(t0one/beta01))&gt;Lco瞬跳時間1,k0one/((POWER($A160,alfa01))-1)*(t0one/beta01),Lco瞬跳時間1)," ")</f>
        <v>0.22267719210745796</v>
      </c>
      <c r="D160">
        <f t="shared" si="88"/>
        <v>1050</v>
      </c>
      <c r="E160">
        <f t="shared" si="89"/>
        <v>150</v>
      </c>
      <c r="G160">
        <f t="shared" si="73"/>
        <v>0.25</v>
      </c>
      <c r="H160">
        <f>IF(协调曲线图!$S$15="是，LCO绘图",IF((k0two/((POWER($A160,alfa02))-1)*(t0two/beta02))&gt;Lco瞬跳時間2,k0two/((POWER($A160,alfa02))-1)*(t0two/beta02),Lco瞬跳時間2)," ")</f>
        <v>0.31174806895044116</v>
      </c>
      <c r="I160">
        <f t="shared" si="74"/>
        <v>1500</v>
      </c>
      <c r="J160">
        <f t="shared" si="75"/>
        <v>150</v>
      </c>
      <c r="L160">
        <f t="shared" si="76"/>
        <v>0.45</v>
      </c>
      <c r="M160">
        <f>IF(协调曲线图!$S$22="是，LCO绘图",IF((k0three/((POWER($A160,alfa03))-1)*(t0three/beta03))&gt;Lco瞬跳時間3,k0three/((POWER($A160,alfa03))-1)*(t0three/beta03),Lco瞬跳時間3)," ")</f>
        <v>0.40081894579342436</v>
      </c>
      <c r="N160">
        <f t="shared" si="77"/>
        <v>2000</v>
      </c>
      <c r="O160">
        <f t="shared" si="78"/>
        <v>150</v>
      </c>
      <c r="Q160">
        <f t="shared" si="79"/>
        <v>0.65</v>
      </c>
      <c r="R160">
        <f>IF(协调曲线图!$S$29="是，LCO绘图",IF((k0four/((POWER($A160,alfa04))-1)*(t0four/beta04))&gt;Lco瞬跳時間4,k0four/((POWER($A160,alfa04))-1)*(t0four/beta04),Lco瞬跳時間4)," ")</f>
        <v>0.48988982263640751</v>
      </c>
      <c r="S160">
        <f t="shared" si="80"/>
        <v>2500</v>
      </c>
      <c r="T160">
        <f t="shared" si="81"/>
        <v>150</v>
      </c>
      <c r="V160">
        <f t="shared" si="82"/>
        <v>0.85</v>
      </c>
      <c r="W160">
        <f>IF(协调曲线图!$S$36="是，LCO绘图",IF((k0five/((POWER($A160,alfa05))-1)*(t0five/beta05))&gt;Lco瞬跳時間5,k0five/((POWER($A160,alfa05))-1)*(t0five/beta05),Lco瞬跳時間5)," ")</f>
        <v>0.57896069947939077</v>
      </c>
      <c r="X160">
        <f t="shared" si="83"/>
        <v>3000</v>
      </c>
      <c r="Y160">
        <f t="shared" si="84"/>
        <v>150</v>
      </c>
      <c r="AA160">
        <f t="shared" si="85"/>
        <v>1.05</v>
      </c>
      <c r="AB160">
        <f>IF(协调曲线图!$S$43="是，LCO绘图",IF((k0six/((POWER($A160,alfa06))-1)*(t0six/beta06))&gt;Lco瞬跳時間6,k0six/((POWER($A160,alfa06))-1)*(t0six/beta06),Lco瞬跳時間6)," ")</f>
        <v>0.71256701474386552</v>
      </c>
      <c r="AC160">
        <f t="shared" si="86"/>
        <v>5000</v>
      </c>
      <c r="AD160">
        <f t="shared" si="87"/>
        <v>300</v>
      </c>
    </row>
    <row r="161" spans="1:30">
      <c r="A161">
        <v>154</v>
      </c>
      <c r="B161">
        <f t="shared" si="72"/>
        <v>0.05</v>
      </c>
      <c r="C161">
        <f>IF(协调曲线图!$S$8="是，LCO绘图",IF((k0one/((POWER($A161,alfa01))-1)*(t0one/beta01))&gt;Lco瞬跳時間1,k0one/((POWER($A161,alfa01))-1)*(t0one/beta01),Lco瞬跳時間1)," ")</f>
        <v>0.22237445593354946</v>
      </c>
      <c r="D161">
        <f t="shared" si="88"/>
        <v>1050</v>
      </c>
      <c r="E161">
        <f t="shared" si="89"/>
        <v>150</v>
      </c>
      <c r="G161">
        <f t="shared" si="73"/>
        <v>0.25</v>
      </c>
      <c r="H161">
        <f>IF(协调曲线图!$S$15="是，LCO绘图",IF((k0two/((POWER($A161,alfa02))-1)*(t0two/beta02))&gt;Lco瞬跳時間2,k0two/((POWER($A161,alfa02))-1)*(t0two/beta02),Lco瞬跳時間2)," ")</f>
        <v>0.31132423830696926</v>
      </c>
      <c r="I161">
        <f t="shared" si="74"/>
        <v>1500</v>
      </c>
      <c r="J161">
        <f t="shared" si="75"/>
        <v>150</v>
      </c>
      <c r="L161">
        <f t="shared" si="76"/>
        <v>0.45</v>
      </c>
      <c r="M161">
        <f>IF(协调曲线图!$S$22="是，LCO绘图",IF((k0three/((POWER($A161,alfa03))-1)*(t0three/beta03))&gt;Lco瞬跳時間3,k0three/((POWER($A161,alfa03))-1)*(t0three/beta03),Lco瞬跳時間3)," ")</f>
        <v>0.40027402068038903</v>
      </c>
      <c r="N161">
        <f t="shared" si="77"/>
        <v>2000</v>
      </c>
      <c r="O161">
        <f t="shared" si="78"/>
        <v>150</v>
      </c>
      <c r="Q161">
        <f t="shared" si="79"/>
        <v>0.65</v>
      </c>
      <c r="R161">
        <f>IF(协调曲线图!$S$29="是，LCO绘图",IF((k0four/((POWER($A161,alfa04))-1)*(t0four/beta04))&gt;Lco瞬跳時間4,k0four/((POWER($A161,alfa04))-1)*(t0four/beta04),Lco瞬跳時間4)," ")</f>
        <v>0.4892238030538088</v>
      </c>
      <c r="S161">
        <f t="shared" si="80"/>
        <v>2500</v>
      </c>
      <c r="T161">
        <f t="shared" si="81"/>
        <v>150</v>
      </c>
      <c r="V161">
        <f t="shared" si="82"/>
        <v>0.85</v>
      </c>
      <c r="W161">
        <f>IF(协调曲线图!$S$36="是，LCO绘图",IF((k0five/((POWER($A161,alfa05))-1)*(t0five/beta05))&gt;Lco瞬跳時間5,k0five/((POWER($A161,alfa05))-1)*(t0five/beta05),Lco瞬跳時間5)," ")</f>
        <v>0.57817358542722863</v>
      </c>
      <c r="X161">
        <f t="shared" si="83"/>
        <v>3000</v>
      </c>
      <c r="Y161">
        <f t="shared" si="84"/>
        <v>150</v>
      </c>
      <c r="AA161">
        <f t="shared" si="85"/>
        <v>1.05</v>
      </c>
      <c r="AB161">
        <f>IF(协调曲线图!$S$43="是，LCO绘图",IF((k0six/((POWER($A161,alfa06))-1)*(t0six/beta06))&gt;Lco瞬跳時間6,k0six/((POWER($A161,alfa06))-1)*(t0six/beta06),Lco瞬跳時間6)," ")</f>
        <v>0.71159825898735829</v>
      </c>
      <c r="AC161">
        <f t="shared" si="86"/>
        <v>5000</v>
      </c>
      <c r="AD161">
        <f t="shared" si="87"/>
        <v>300</v>
      </c>
    </row>
    <row r="162" spans="1:30">
      <c r="A162">
        <v>155</v>
      </c>
      <c r="B162">
        <f t="shared" si="72"/>
        <v>0.05</v>
      </c>
      <c r="C162">
        <f>IF(协调曲线图!$S$8="是，LCO绘图",IF((k0one/((POWER($A162,alfa01))-1)*(t0one/beta01))&gt;Lco瞬跳時間1,k0one/((POWER($A162,alfa01))-1)*(t0one/beta01),Lco瞬跳時間1)," ")</f>
        <v>0.22207445440728008</v>
      </c>
      <c r="D162">
        <f t="shared" si="88"/>
        <v>1050</v>
      </c>
      <c r="E162">
        <f t="shared" si="89"/>
        <v>150</v>
      </c>
      <c r="G162">
        <f t="shared" si="73"/>
        <v>0.25</v>
      </c>
      <c r="H162">
        <f>IF(协调曲线图!$S$15="是，LCO绘图",IF((k0two/((POWER($A162,alfa02))-1)*(t0two/beta02))&gt;Lco瞬跳時間2,k0two/((POWER($A162,alfa02))-1)*(t0two/beta02),Lco瞬跳時間2)," ")</f>
        <v>0.31090423617019208</v>
      </c>
      <c r="I162">
        <f t="shared" si="74"/>
        <v>1500</v>
      </c>
      <c r="J162">
        <f t="shared" si="75"/>
        <v>150</v>
      </c>
      <c r="L162">
        <f t="shared" si="76"/>
        <v>0.45</v>
      </c>
      <c r="M162">
        <f>IF(协调曲线图!$S$22="是，LCO绘图",IF((k0three/((POWER($A162,alfa03))-1)*(t0three/beta03))&gt;Lco瞬跳時間3,k0three/((POWER($A162,alfa03))-1)*(t0three/beta03),Lco瞬跳時間3)," ")</f>
        <v>0.3997340179331042</v>
      </c>
      <c r="N162">
        <f t="shared" si="77"/>
        <v>2000</v>
      </c>
      <c r="O162">
        <f t="shared" si="78"/>
        <v>150</v>
      </c>
      <c r="Q162">
        <f t="shared" si="79"/>
        <v>0.65</v>
      </c>
      <c r="R162">
        <f>IF(协调曲线图!$S$29="是，LCO绘图",IF((k0four/((POWER($A162,alfa04))-1)*(t0four/beta04))&gt;Lco瞬跳時間4,k0four/((POWER($A162,alfa04))-1)*(t0four/beta04),Lco瞬跳時間4)," ")</f>
        <v>0.48856379969601615</v>
      </c>
      <c r="S162">
        <f t="shared" si="80"/>
        <v>2500</v>
      </c>
      <c r="T162">
        <f t="shared" si="81"/>
        <v>150</v>
      </c>
      <c r="V162">
        <f t="shared" si="82"/>
        <v>0.85</v>
      </c>
      <c r="W162">
        <f>IF(协调曲线图!$S$36="是，LCO绘图",IF((k0five/((POWER($A162,alfa05))-1)*(t0five/beta05))&gt;Lco瞬跳時間5,k0five/((POWER($A162,alfa05))-1)*(t0five/beta05),Lco瞬跳時間5)," ")</f>
        <v>0.57739358145892827</v>
      </c>
      <c r="X162">
        <f t="shared" si="83"/>
        <v>3000</v>
      </c>
      <c r="Y162">
        <f t="shared" si="84"/>
        <v>150</v>
      </c>
      <c r="AA162">
        <f t="shared" si="85"/>
        <v>1.05</v>
      </c>
      <c r="AB162">
        <f>IF(协调曲线图!$S$43="是，LCO绘图",IF((k0six/((POWER($A162,alfa06))-1)*(t0six/beta06))&gt;Lco瞬跳時間6,k0six/((POWER($A162,alfa06))-1)*(t0six/beta06),Lco瞬跳時間6)," ")</f>
        <v>0.71063825410329629</v>
      </c>
      <c r="AC162">
        <f t="shared" si="86"/>
        <v>5000</v>
      </c>
      <c r="AD162">
        <f t="shared" si="87"/>
        <v>300</v>
      </c>
    </row>
    <row r="163" spans="1:30">
      <c r="A163">
        <v>156</v>
      </c>
      <c r="B163">
        <f t="shared" si="72"/>
        <v>0.05</v>
      </c>
      <c r="C163">
        <f>IF(协调曲线图!$S$8="是，LCO绘图",IF((k0one/((POWER($A163,alfa01))-1)*(t0one/beta01))&gt;Lco瞬跳時間1,k0one/((POWER($A163,alfa01))-1)*(t0one/beta01),Lco瞬跳時間1)," ")</f>
        <v>0.22177714444439409</v>
      </c>
      <c r="D163">
        <f t="shared" si="88"/>
        <v>1050</v>
      </c>
      <c r="E163">
        <f t="shared" si="89"/>
        <v>150</v>
      </c>
      <c r="G163">
        <f t="shared" si="73"/>
        <v>0.25</v>
      </c>
      <c r="H163">
        <f>IF(协调曲线图!$S$15="是，LCO绘图",IF((k0two/((POWER($A163,alfa02))-1)*(t0two/beta02))&gt;Lco瞬跳時間2,k0two/((POWER($A163,alfa02))-1)*(t0two/beta02),Lco瞬跳時間2)," ")</f>
        <v>0.31048800222215173</v>
      </c>
      <c r="I163">
        <f t="shared" si="74"/>
        <v>1500</v>
      </c>
      <c r="J163">
        <f t="shared" si="75"/>
        <v>150</v>
      </c>
      <c r="L163">
        <f t="shared" si="76"/>
        <v>0.45</v>
      </c>
      <c r="M163">
        <f>IF(协调曲线图!$S$22="是，LCO绘图",IF((k0three/((POWER($A163,alfa03))-1)*(t0three/beta03))&gt;Lco瞬跳時間3,k0three/((POWER($A163,alfa03))-1)*(t0three/beta03),Lco瞬跳時間3)," ")</f>
        <v>0.39919885999990939</v>
      </c>
      <c r="N163">
        <f t="shared" si="77"/>
        <v>2000</v>
      </c>
      <c r="O163">
        <f t="shared" si="78"/>
        <v>150</v>
      </c>
      <c r="Q163">
        <f t="shared" si="79"/>
        <v>0.65</v>
      </c>
      <c r="R163">
        <f>IF(协调曲线图!$S$29="是，LCO绘图",IF((k0four/((POWER($A163,alfa04))-1)*(t0four/beta04))&gt;Lco瞬跳時間4,k0four/((POWER($A163,alfa04))-1)*(t0four/beta04),Lco瞬跳時間4)," ")</f>
        <v>0.48790971777766701</v>
      </c>
      <c r="S163">
        <f t="shared" si="80"/>
        <v>2500</v>
      </c>
      <c r="T163">
        <f t="shared" si="81"/>
        <v>150</v>
      </c>
      <c r="V163">
        <f t="shared" si="82"/>
        <v>0.85</v>
      </c>
      <c r="W163">
        <f>IF(协调曲线图!$S$36="是，LCO绘图",IF((k0five/((POWER($A163,alfa05))-1)*(t0five/beta05))&gt;Lco瞬跳時間5,k0five/((POWER($A163,alfa05))-1)*(t0five/beta05),Lco瞬跳時間5)," ")</f>
        <v>0.57662057555542467</v>
      </c>
      <c r="X163">
        <f t="shared" si="83"/>
        <v>3000</v>
      </c>
      <c r="Y163">
        <f t="shared" si="84"/>
        <v>150</v>
      </c>
      <c r="AA163">
        <f t="shared" si="85"/>
        <v>1.05</v>
      </c>
      <c r="AB163">
        <f>IF(协调曲线图!$S$43="是，LCO绘图",IF((k0six/((POWER($A163,alfa06))-1)*(t0six/beta06))&gt;Lco瞬跳時間6,k0six/((POWER($A163,alfa06))-1)*(t0six/beta06),Lco瞬跳時間6)," ")</f>
        <v>0.70968686222206112</v>
      </c>
      <c r="AC163">
        <f t="shared" si="86"/>
        <v>5000</v>
      </c>
      <c r="AD163">
        <f t="shared" si="87"/>
        <v>300</v>
      </c>
    </row>
    <row r="164" spans="1:30">
      <c r="A164">
        <v>157</v>
      </c>
      <c r="B164">
        <f t="shared" si="72"/>
        <v>0.05</v>
      </c>
      <c r="C164">
        <f>IF(协调曲线图!$S$8="是，LCO绘图",IF((k0one/((POWER($A164,alfa01))-1)*(t0one/beta01))&gt;Lco瞬跳時間1,k0one/((POWER($A164,alfa01))-1)*(t0one/beta01),Lco瞬跳時間1)," ")</f>
        <v>0.22148248392074416</v>
      </c>
      <c r="D164">
        <f t="shared" si="88"/>
        <v>1050</v>
      </c>
      <c r="E164">
        <f t="shared" si="89"/>
        <v>150</v>
      </c>
      <c r="G164">
        <f t="shared" si="73"/>
        <v>0.25</v>
      </c>
      <c r="H164">
        <f>IF(协调曲线图!$S$15="是，LCO绘图",IF((k0two/((POWER($A164,alfa02))-1)*(t0two/beta02))&gt;Lco瞬跳時間2,k0two/((POWER($A164,alfa02))-1)*(t0two/beta02),Lco瞬跳時間2)," ")</f>
        <v>0.31007547748904185</v>
      </c>
      <c r="I164">
        <f t="shared" si="74"/>
        <v>1500</v>
      </c>
      <c r="J164">
        <f t="shared" si="75"/>
        <v>150</v>
      </c>
      <c r="L164">
        <f t="shared" si="76"/>
        <v>0.45</v>
      </c>
      <c r="M164">
        <f>IF(协调曲线图!$S$22="是，LCO绘图",IF((k0three/((POWER($A164,alfa03))-1)*(t0three/beta03))&gt;Lco瞬跳時間3,k0three/((POWER($A164,alfa03))-1)*(t0three/beta03),Lco瞬跳時間3)," ")</f>
        <v>0.39866847105733955</v>
      </c>
      <c r="N164">
        <f t="shared" si="77"/>
        <v>2000</v>
      </c>
      <c r="O164">
        <f t="shared" si="78"/>
        <v>150</v>
      </c>
      <c r="Q164">
        <f t="shared" si="79"/>
        <v>0.65</v>
      </c>
      <c r="R164">
        <f>IF(协调曲线图!$S$29="是，LCO绘图",IF((k0four/((POWER($A164,alfa04))-1)*(t0four/beta04))&gt;Lco瞬跳時間4,k0four/((POWER($A164,alfa04))-1)*(t0four/beta04),Lco瞬跳時間4)," ")</f>
        <v>0.48726146462563719</v>
      </c>
      <c r="S164">
        <f t="shared" si="80"/>
        <v>2500</v>
      </c>
      <c r="T164">
        <f t="shared" si="81"/>
        <v>150</v>
      </c>
      <c r="V164">
        <f t="shared" si="82"/>
        <v>0.85</v>
      </c>
      <c r="W164">
        <f>IF(协调曲线图!$S$36="是，LCO绘图",IF((k0five/((POWER($A164,alfa05))-1)*(t0five/beta05))&gt;Lco瞬跳時間5,k0five/((POWER($A164,alfa05))-1)*(t0five/beta05),Lco瞬跳時間5)," ")</f>
        <v>0.57585445819393488</v>
      </c>
      <c r="X164">
        <f t="shared" si="83"/>
        <v>3000</v>
      </c>
      <c r="Y164">
        <f t="shared" si="84"/>
        <v>150</v>
      </c>
      <c r="AA164">
        <f t="shared" si="85"/>
        <v>1.05</v>
      </c>
      <c r="AB164">
        <f>IF(协调曲线图!$S$43="是，LCO绘图",IF((k0six/((POWER($A164,alfa06))-1)*(t0six/beta06))&gt;Lco瞬跳時間6,k0six/((POWER($A164,alfa06))-1)*(t0six/beta06),Lco瞬跳時間6)," ")</f>
        <v>0.70874394854638134</v>
      </c>
      <c r="AC164">
        <f t="shared" si="86"/>
        <v>5000</v>
      </c>
      <c r="AD164">
        <f t="shared" si="87"/>
        <v>300</v>
      </c>
    </row>
    <row r="165" spans="1:30">
      <c r="A165">
        <v>158</v>
      </c>
      <c r="B165">
        <f t="shared" si="72"/>
        <v>0.05</v>
      </c>
      <c r="C165">
        <f>IF(协调曲线图!$S$8="是，LCO绘图",IF((k0one/((POWER($A165,alfa01))-1)*(t0one/beta01))&gt;Lco瞬跳時間1,k0one/((POWER($A165,alfa01))-1)*(t0one/beta01),Lco瞬跳時間1)," ")</f>
        <v>0.22119043164475075</v>
      </c>
      <c r="D165">
        <f t="shared" si="88"/>
        <v>1050</v>
      </c>
      <c r="E165">
        <f t="shared" si="89"/>
        <v>150</v>
      </c>
      <c r="G165">
        <f t="shared" si="73"/>
        <v>0.25</v>
      </c>
      <c r="H165">
        <f>IF(协调曲线图!$S$15="是，LCO绘图",IF((k0two/((POWER($A165,alfa02))-1)*(t0two/beta02))&gt;Lco瞬跳時間2,k0two/((POWER($A165,alfa02))-1)*(t0two/beta02),Lco瞬跳時間2)," ")</f>
        <v>0.30966660430265103</v>
      </c>
      <c r="I165">
        <f t="shared" si="74"/>
        <v>1500</v>
      </c>
      <c r="J165">
        <f t="shared" si="75"/>
        <v>150</v>
      </c>
      <c r="L165">
        <f t="shared" si="76"/>
        <v>0.45</v>
      </c>
      <c r="M165">
        <f>IF(协调曲线图!$S$22="是，LCO绘图",IF((k0three/((POWER($A165,alfa03))-1)*(t0three/beta03))&gt;Lco瞬跳時間3,k0three/((POWER($A165,alfa03))-1)*(t0three/beta03),Lco瞬跳時間3)," ")</f>
        <v>0.39814277696055139</v>
      </c>
      <c r="N165">
        <f t="shared" si="77"/>
        <v>2000</v>
      </c>
      <c r="O165">
        <f t="shared" si="78"/>
        <v>150</v>
      </c>
      <c r="Q165">
        <f t="shared" si="79"/>
        <v>0.65</v>
      </c>
      <c r="R165">
        <f>IF(协调曲线图!$S$29="是，LCO绘图",IF((k0four/((POWER($A165,alfa04))-1)*(t0four/beta04))&gt;Lco瞬跳時間4,k0four/((POWER($A165,alfa04))-1)*(t0four/beta04),Lco瞬跳時間4)," ")</f>
        <v>0.48661894961845165</v>
      </c>
      <c r="S165">
        <f t="shared" si="80"/>
        <v>2500</v>
      </c>
      <c r="T165">
        <f t="shared" si="81"/>
        <v>150</v>
      </c>
      <c r="V165">
        <f t="shared" si="82"/>
        <v>0.85</v>
      </c>
      <c r="W165">
        <f>IF(协调曲线图!$S$36="是，LCO绘图",IF((k0five/((POWER($A165,alfa05))-1)*(t0five/beta05))&gt;Lco瞬跳時間5,k0five/((POWER($A165,alfa05))-1)*(t0five/beta05),Lco瞬跳時間5)," ")</f>
        <v>0.57509512227635196</v>
      </c>
      <c r="X165">
        <f t="shared" si="83"/>
        <v>3000</v>
      </c>
      <c r="Y165">
        <f t="shared" si="84"/>
        <v>150</v>
      </c>
      <c r="AA165">
        <f t="shared" si="85"/>
        <v>1.05</v>
      </c>
      <c r="AB165">
        <f>IF(协调曲线图!$S$43="是，LCO绘图",IF((k0six/((POWER($A165,alfa06))-1)*(t0six/beta06))&gt;Lco瞬跳時間6,k0six/((POWER($A165,alfa06))-1)*(t0six/beta06),Lco瞬跳時間6)," ")</f>
        <v>0.70780938126320236</v>
      </c>
      <c r="AC165">
        <f t="shared" si="86"/>
        <v>5000</v>
      </c>
      <c r="AD165">
        <f t="shared" si="87"/>
        <v>300</v>
      </c>
    </row>
    <row r="166" spans="1:30">
      <c r="A166">
        <v>159</v>
      </c>
      <c r="B166">
        <f t="shared" si="72"/>
        <v>0.05</v>
      </c>
      <c r="C166">
        <f>IF(协调曲线图!$S$8="是，LCO绘图",IF((k0one/((POWER($A166,alfa01))-1)*(t0one/beta01))&gt;Lco瞬跳時間1,k0one/((POWER($A166,alfa01))-1)*(t0one/beta01),Lco瞬跳時間1)," ")</f>
        <v>0.22090094733082907</v>
      </c>
      <c r="D166">
        <f t="shared" si="88"/>
        <v>1050</v>
      </c>
      <c r="E166">
        <f t="shared" si="89"/>
        <v>150</v>
      </c>
      <c r="G166">
        <f t="shared" si="73"/>
        <v>0.25</v>
      </c>
      <c r="H166">
        <f>IF(协调曲线图!$S$15="是，LCO绘图",IF((k0two/((POWER($A166,alfa02))-1)*(t0two/beta02))&gt;Lco瞬跳時間2,k0two/((POWER($A166,alfa02))-1)*(t0two/beta02),Lco瞬跳時間2)," ")</f>
        <v>0.30926132626316072</v>
      </c>
      <c r="I166">
        <f t="shared" si="74"/>
        <v>1500</v>
      </c>
      <c r="J166">
        <f t="shared" si="75"/>
        <v>150</v>
      </c>
      <c r="L166">
        <f t="shared" si="76"/>
        <v>0.45</v>
      </c>
      <c r="M166">
        <f>IF(协调曲线图!$S$22="是，LCO绘图",IF((k0three/((POWER($A166,alfa03))-1)*(t0three/beta03))&gt;Lco瞬跳時間3,k0three/((POWER($A166,alfa03))-1)*(t0three/beta03),Lco瞬跳時間3)," ")</f>
        <v>0.39762170519549239</v>
      </c>
      <c r="N166">
        <f t="shared" si="77"/>
        <v>2000</v>
      </c>
      <c r="O166">
        <f t="shared" si="78"/>
        <v>150</v>
      </c>
      <c r="Q166">
        <f t="shared" si="79"/>
        <v>0.65</v>
      </c>
      <c r="R166">
        <f>IF(协调曲线图!$S$29="是，LCO绘图",IF((k0four/((POWER($A166,alfa04))-1)*(t0four/beta04))&gt;Lco瞬跳時間4,k0four/((POWER($A166,alfa04))-1)*(t0four/beta04),Lco瞬跳時間4)," ")</f>
        <v>0.48598208412782395</v>
      </c>
      <c r="S166">
        <f t="shared" si="80"/>
        <v>2500</v>
      </c>
      <c r="T166">
        <f t="shared" si="81"/>
        <v>150</v>
      </c>
      <c r="V166">
        <f t="shared" si="82"/>
        <v>0.85</v>
      </c>
      <c r="W166">
        <f>IF(协调曲线图!$S$36="是，LCO绘图",IF((k0five/((POWER($A166,alfa05))-1)*(t0five/beta05))&gt;Lco瞬跳時間5,k0five/((POWER($A166,alfa05))-1)*(t0five/beta05),Lco瞬跳時間5)," ")</f>
        <v>0.57434246306015568</v>
      </c>
      <c r="X166">
        <f t="shared" si="83"/>
        <v>3000</v>
      </c>
      <c r="Y166">
        <f t="shared" si="84"/>
        <v>150</v>
      </c>
      <c r="AA166">
        <f t="shared" si="85"/>
        <v>1.05</v>
      </c>
      <c r="AB166">
        <f>IF(协调曲线图!$S$43="是，LCO绘图",IF((k0six/((POWER($A166,alfa06))-1)*(t0six/beta06))&gt;Lco瞬跳時間6,k0six/((POWER($A166,alfa06))-1)*(t0six/beta06),Lco瞬跳時間6)," ")</f>
        <v>0.70688303145865305</v>
      </c>
      <c r="AC166">
        <f t="shared" si="86"/>
        <v>5000</v>
      </c>
      <c r="AD166">
        <f t="shared" si="87"/>
        <v>300</v>
      </c>
    </row>
    <row r="167" spans="1:30">
      <c r="A167">
        <v>160</v>
      </c>
      <c r="B167">
        <f t="shared" si="72"/>
        <v>0.05</v>
      </c>
      <c r="C167">
        <f>IF(协调曲线图!$S$8="是，LCO绘图",IF((k0one/((POWER($A167,alfa01))-1)*(t0one/beta01))&gt;Lco瞬跳時間1,k0one/((POWER($A167,alfa01))-1)*(t0one/beta01),Lco瞬跳時間1)," ")</f>
        <v>0.22061399157373726</v>
      </c>
      <c r="D167">
        <f t="shared" si="88"/>
        <v>1050</v>
      </c>
      <c r="E167">
        <f t="shared" si="89"/>
        <v>150</v>
      </c>
      <c r="G167">
        <f t="shared" si="73"/>
        <v>0.25</v>
      </c>
      <c r="H167">
        <f>IF(协调曲线图!$S$15="是，LCO绘图",IF((k0two/((POWER($A167,alfa02))-1)*(t0two/beta02))&gt;Lco瞬跳時間2,k0two/((POWER($A167,alfa02))-1)*(t0two/beta02),Lco瞬跳時間2)," ")</f>
        <v>0.30885958820323217</v>
      </c>
      <c r="I167">
        <f t="shared" si="74"/>
        <v>1500</v>
      </c>
      <c r="J167">
        <f t="shared" si="75"/>
        <v>150</v>
      </c>
      <c r="L167">
        <f t="shared" si="76"/>
        <v>0.45</v>
      </c>
      <c r="M167">
        <f>IF(协调曲线图!$S$22="是，LCO绘图",IF((k0three/((POWER($A167,alfa03))-1)*(t0three/beta03))&gt;Lco瞬跳時間3,k0three/((POWER($A167,alfa03))-1)*(t0three/beta03),Lco瞬跳時間3)," ")</f>
        <v>0.39710518483272711</v>
      </c>
      <c r="N167">
        <f t="shared" si="77"/>
        <v>2000</v>
      </c>
      <c r="O167">
        <f t="shared" si="78"/>
        <v>150</v>
      </c>
      <c r="Q167">
        <f t="shared" si="79"/>
        <v>0.65</v>
      </c>
      <c r="R167">
        <f>IF(协调曲线图!$S$29="是，LCO绘图",IF((k0four/((POWER($A167,alfa04))-1)*(t0four/beta04))&gt;Lco瞬跳時間4,k0four/((POWER($A167,alfa04))-1)*(t0four/beta04),Lco瞬跳時間4)," ")</f>
        <v>0.48535078146222199</v>
      </c>
      <c r="S167">
        <f t="shared" si="80"/>
        <v>2500</v>
      </c>
      <c r="T167">
        <f t="shared" si="81"/>
        <v>150</v>
      </c>
      <c r="V167">
        <f t="shared" si="82"/>
        <v>0.85</v>
      </c>
      <c r="W167">
        <f>IF(协调曲线图!$S$36="是，LCO绘图",IF((k0five/((POWER($A167,alfa05))-1)*(t0five/beta05))&gt;Lco瞬跳時間5,k0five/((POWER($A167,alfa05))-1)*(t0five/beta05),Lco瞬跳時間5)," ")</f>
        <v>0.57359637809171693</v>
      </c>
      <c r="X167">
        <f t="shared" si="83"/>
        <v>3000</v>
      </c>
      <c r="Y167">
        <f t="shared" si="84"/>
        <v>150</v>
      </c>
      <c r="AA167">
        <f t="shared" si="85"/>
        <v>1.05</v>
      </c>
      <c r="AB167">
        <f>IF(协调曲线图!$S$43="是，LCO绘图",IF((k0six/((POWER($A167,alfa06))-1)*(t0six/beta06))&gt;Lco瞬跳時間6,k0six/((POWER($A167,alfa06))-1)*(t0six/beta06),Lco瞬跳時間6)," ")</f>
        <v>0.70596477303595928</v>
      </c>
      <c r="AC167">
        <f t="shared" si="86"/>
        <v>5000</v>
      </c>
      <c r="AD167">
        <f t="shared" si="87"/>
        <v>300</v>
      </c>
    </row>
    <row r="168" spans="1:30">
      <c r="A168">
        <v>161</v>
      </c>
      <c r="B168">
        <f t="shared" ref="B168:B199" si="90">IF((kone/((POWER($A168,alfa1))-1)*(tone/beta1))&gt;瞬跳時間1,kone/((POWER($A168,alfa1))-1)*(tone/beta1),瞬跳時間1)</f>
        <v>0.05</v>
      </c>
      <c r="C168">
        <f>IF(协调曲线图!$S$8="是，LCO绘图",IF((k0one/((POWER($A168,alfa01))-1)*(t0one/beta01))&gt;Lco瞬跳時間1,k0one/((POWER($A168,alfa01))-1)*(t0one/beta01),Lco瞬跳時間1)," ")</f>
        <v>0.22032952582381021</v>
      </c>
      <c r="D168">
        <f t="shared" si="88"/>
        <v>1050</v>
      </c>
      <c r="E168">
        <f t="shared" si="89"/>
        <v>150</v>
      </c>
      <c r="G168">
        <f t="shared" ref="G168:G199" si="91">IF((ktwo/((POWER($A168,alfa2))-1)*(ttwo/beta2))&gt;瞬跳時間2,ktwo/((POWER($A168,alfa2))-1)*(ttwo/beta2),瞬跳時間2)</f>
        <v>0.25</v>
      </c>
      <c r="H168">
        <f>IF(协调曲线图!$S$15="是，LCO绘图",IF((k0two/((POWER($A168,alfa02))-1)*(t0two/beta02))&gt;Lco瞬跳時間2,k0two/((POWER($A168,alfa02))-1)*(t0two/beta02),Lco瞬跳時間2)," ")</f>
        <v>0.30846133615333426</v>
      </c>
      <c r="I168">
        <f t="shared" ref="I168:I199" si="92">IF(Istwo*$A168&gt;=瞬跳電流2,瞬跳電流2,Istwo*$A168)/(covb2/covt2)</f>
        <v>1500</v>
      </c>
      <c r="J168">
        <f t="shared" ref="J168:J199" si="93">IF(Is0two*$A168&gt;=Lco瞬跳電流2,Lco瞬跳電流2,Is0two*$A168)/(covb2/covt2)</f>
        <v>150</v>
      </c>
      <c r="L168">
        <f t="shared" ref="L168:L199" si="94">IF((kthree/((POWER($A168,alfa3))-1)*(tthree/beta3))&gt;瞬跳時間3,kthree/((POWER($A168,alfa3))-1)*(tthree/beta3),瞬跳時間3)</f>
        <v>0.45</v>
      </c>
      <c r="M168">
        <f>IF(协调曲线图!$S$22="是，LCO绘图",IF((k0three/((POWER($A168,alfa03))-1)*(t0three/beta03))&gt;Lco瞬跳時間3,k0three/((POWER($A168,alfa03))-1)*(t0three/beta03),Lco瞬跳時間3)," ")</f>
        <v>0.39659314648285843</v>
      </c>
      <c r="N168">
        <f t="shared" ref="N168:N199" si="95">IF(Isthree*$A168&gt;=瞬跳電流3,瞬跳電流3,Isthree*$A168)/(covb3/covt3)</f>
        <v>2000</v>
      </c>
      <c r="O168">
        <f t="shared" ref="O168:O199" si="96">IF(Is0three*$A168&gt;=Lco瞬跳電流3,Lco瞬跳電流3,Is0three*$A168)/(covb3/covt3)</f>
        <v>150</v>
      </c>
      <c r="Q168">
        <f t="shared" ref="Q168:Q199" si="97">IF((kfour/((POWER($A168,alfa4))-1)*(tfour/beta4))&gt;瞬跳時間4,kfour/((POWER($A168,alfa4))-1)*(tfour/beta4),瞬跳時間4)</f>
        <v>0.65</v>
      </c>
      <c r="R168">
        <f>IF(协调曲线图!$S$29="是，LCO绘图",IF((k0four/((POWER($A168,alfa04))-1)*(t0four/beta04))&gt;Lco瞬跳時間4,k0four/((POWER($A168,alfa04))-1)*(t0four/beta04),Lco瞬跳時間4)," ")</f>
        <v>0.48472495681238248</v>
      </c>
      <c r="S168">
        <f t="shared" ref="S168:S199" si="98">IF(Isfour*$A168&gt;=瞬跳電流4,瞬跳電流4,Isfour*$A168)/(covb4/covt4)</f>
        <v>2500</v>
      </c>
      <c r="T168">
        <f t="shared" ref="T168:T199" si="99">IF(Is0four*$A168&gt;=Lco瞬跳電流4,Lco瞬跳電流4,Is0four*$A168)/(covb4/covt4)</f>
        <v>150</v>
      </c>
      <c r="V168">
        <f t="shared" ref="V168:V199" si="100">IF((kfive/((POWER($A168,alfa5))-1)*(tfive/beta5))&gt;瞬跳時間5,kfive/((POWER($A168,alfa5))-1)*(tfive/beta5),瞬跳時間5)</f>
        <v>0.85</v>
      </c>
      <c r="W168">
        <f>IF(协调曲线图!$S$36="是，LCO绘图",IF((k0five/((POWER($A168,alfa05))-1)*(t0five/beta05))&gt;Lco瞬跳時間5,k0five/((POWER($A168,alfa05))-1)*(t0five/beta05),Lco瞬跳時間5)," ")</f>
        <v>0.57285676714190659</v>
      </c>
      <c r="X168">
        <f t="shared" ref="X168:X199" si="101">IF(Isfive*$A168&gt;=瞬跳電流5,瞬跳電流5,Isfive*$A168)/(covb5/covt5)</f>
        <v>3000</v>
      </c>
      <c r="Y168">
        <f t="shared" ref="Y168:Y199" si="102">IF(Is0five*$A168&gt;=Lco瞬跳電流5,Lco瞬跳電流5,Is0five*$A168)/(covb5/covt5)</f>
        <v>150</v>
      </c>
      <c r="AA168">
        <f t="shared" ref="AA168:AA199" si="103">IF((ksix/((POWER($A168,alfa6))-1)*(tsix/beta6))&gt;瞬跳時間6,ksix/((POWER($A168,alfa6))-1)*(tsix/beta6),瞬跳時間6)</f>
        <v>1.05</v>
      </c>
      <c r="AB168">
        <f>IF(协调曲线图!$S$43="是，LCO绘图",IF((k0six/((POWER($A168,alfa06))-1)*(t0six/beta06))&gt;Lco瞬跳時間6,k0six/((POWER($A168,alfa06))-1)*(t0six/beta06),Lco瞬跳時間6)," ")</f>
        <v>0.70505448263619275</v>
      </c>
      <c r="AC168">
        <f t="shared" ref="AC168:AC199" si="104">IF(Issix*$A168&gt;=瞬跳電流6,瞬跳電流6,Issix*$A168)/(covb6/covt6)</f>
        <v>5000</v>
      </c>
      <c r="AD168">
        <f t="shared" ref="AD168:AD199" si="105">IF(Is0six*$A168&gt;=Lco瞬跳電流6,Lco瞬跳電流6,Is0six*$A168)/(covb6/covt6)</f>
        <v>300</v>
      </c>
    </row>
    <row r="169" spans="1:30">
      <c r="A169">
        <v>162</v>
      </c>
      <c r="B169">
        <f t="shared" si="90"/>
        <v>0.05</v>
      </c>
      <c r="C169">
        <f>IF(协调曲线图!$S$8="是，LCO绘图",IF((k0one/((POWER($A169,alfa01))-1)*(t0one/beta01))&gt;Lco瞬跳時間1,k0one/((POWER($A169,alfa01))-1)*(t0one/beta01),Lco瞬跳時間1)," ")</f>
        <v>0.22004751236304476</v>
      </c>
      <c r="D169">
        <f t="shared" ref="D169:D200" si="106">IF(Isone*$A169&gt;=瞬跳電流1,瞬跳電流1,Isone*$A169)/(covb1/covt1)</f>
        <v>1050</v>
      </c>
      <c r="E169">
        <f t="shared" ref="E169:E200" si="107">IF(Is0one*$A169&gt;=Lco瞬跳電流1,Lco瞬跳電流1,Is0one*$A169)/(covb1/covt1)</f>
        <v>150</v>
      </c>
      <c r="G169">
        <f t="shared" si="91"/>
        <v>0.25</v>
      </c>
      <c r="H169">
        <f>IF(协调曲线图!$S$15="是，LCO绘图",IF((k0two/((POWER($A169,alfa02))-1)*(t0two/beta02))&gt;Lco瞬跳時間2,k0two/((POWER($A169,alfa02))-1)*(t0two/beta02),Lco瞬跳時間2)," ")</f>
        <v>0.30806651730826268</v>
      </c>
      <c r="I169">
        <f t="shared" si="92"/>
        <v>1500</v>
      </c>
      <c r="J169">
        <f t="shared" si="93"/>
        <v>150</v>
      </c>
      <c r="L169">
        <f t="shared" si="94"/>
        <v>0.45</v>
      </c>
      <c r="M169">
        <f>IF(协调曲线图!$S$22="是，LCO绘图",IF((k0three/((POWER($A169,alfa03))-1)*(t0three/beta03))&gt;Lco瞬跳時間3,k0three/((POWER($A169,alfa03))-1)*(t0three/beta03),Lco瞬跳時間3)," ")</f>
        <v>0.39608552225348065</v>
      </c>
      <c r="N169">
        <f t="shared" si="95"/>
        <v>2000</v>
      </c>
      <c r="O169">
        <f t="shared" si="96"/>
        <v>150</v>
      </c>
      <c r="Q169">
        <f t="shared" si="97"/>
        <v>0.65</v>
      </c>
      <c r="R169">
        <f>IF(协调曲线图!$S$29="是，LCO绘图",IF((k0four/((POWER($A169,alfa04))-1)*(t0four/beta04))&gt;Lco瞬跳時間4,k0four/((POWER($A169,alfa04))-1)*(t0four/beta04),Lco瞬跳時間4)," ")</f>
        <v>0.48410452719869851</v>
      </c>
      <c r="S169">
        <f t="shared" si="98"/>
        <v>2500</v>
      </c>
      <c r="T169">
        <f t="shared" si="99"/>
        <v>150</v>
      </c>
      <c r="V169">
        <f t="shared" si="100"/>
        <v>0.85</v>
      </c>
      <c r="W169">
        <f>IF(协调曲线图!$S$36="是，LCO绘图",IF((k0five/((POWER($A169,alfa05))-1)*(t0five/beta05))&gt;Lco瞬跳時間5,k0five/((POWER($A169,alfa05))-1)*(t0five/beta05),Lco瞬跳時間5)," ")</f>
        <v>0.57212353214391642</v>
      </c>
      <c r="X169">
        <f t="shared" si="101"/>
        <v>3000</v>
      </c>
      <c r="Y169">
        <f t="shared" si="102"/>
        <v>150</v>
      </c>
      <c r="AA169">
        <f t="shared" si="103"/>
        <v>1.05</v>
      </c>
      <c r="AB169">
        <f>IF(协调曲线图!$S$43="是，LCO绘图",IF((k0six/((POWER($A169,alfa06))-1)*(t0six/beta06))&gt;Lco瞬跳時間6,k0six/((POWER($A169,alfa06))-1)*(t0six/beta06),Lco瞬跳時間6)," ")</f>
        <v>0.70415203956174333</v>
      </c>
      <c r="AC169">
        <f t="shared" si="104"/>
        <v>5000</v>
      </c>
      <c r="AD169">
        <f t="shared" si="105"/>
        <v>300</v>
      </c>
    </row>
    <row r="170" spans="1:30">
      <c r="A170">
        <v>163</v>
      </c>
      <c r="B170">
        <f t="shared" si="90"/>
        <v>0.05</v>
      </c>
      <c r="C170">
        <f>IF(协调曲线图!$S$8="是，LCO绘图",IF((k0one/((POWER($A170,alfa01))-1)*(t0one/beta01))&gt;Lco瞬跳時間1,k0one/((POWER($A170,alfa01))-1)*(t0one/beta01),Lco瞬跳時間1)," ")</f>
        <v>0.21976791428199777</v>
      </c>
      <c r="D170">
        <f t="shared" si="106"/>
        <v>1050</v>
      </c>
      <c r="E170">
        <f t="shared" si="107"/>
        <v>150</v>
      </c>
      <c r="G170">
        <f t="shared" si="91"/>
        <v>0.25</v>
      </c>
      <c r="H170">
        <f>IF(协调曲线图!$S$15="是，LCO绘图",IF((k0two/((POWER($A170,alfa02))-1)*(t0two/beta02))&gt;Lco瞬跳時間2,k0two/((POWER($A170,alfa02))-1)*(t0two/beta02),Lco瞬跳時間2)," ")</f>
        <v>0.30767507999479687</v>
      </c>
      <c r="I170">
        <f t="shared" si="92"/>
        <v>1500</v>
      </c>
      <c r="J170">
        <f t="shared" si="93"/>
        <v>150</v>
      </c>
      <c r="L170">
        <f t="shared" si="94"/>
        <v>0.45</v>
      </c>
      <c r="M170">
        <f>IF(协调曲线图!$S$22="是，LCO绘图",IF((k0three/((POWER($A170,alfa03))-1)*(t0three/beta03))&gt;Lco瞬跳時間3,k0three/((POWER($A170,alfa03))-1)*(t0three/beta03),Lco瞬跳時間3)," ")</f>
        <v>0.39558224570759604</v>
      </c>
      <c r="N170">
        <f t="shared" si="95"/>
        <v>2000</v>
      </c>
      <c r="O170">
        <f t="shared" si="96"/>
        <v>150</v>
      </c>
      <c r="Q170">
        <f t="shared" si="97"/>
        <v>0.65</v>
      </c>
      <c r="R170">
        <f>IF(协调曲线图!$S$29="是，LCO绘图",IF((k0four/((POWER($A170,alfa04))-1)*(t0four/beta04))&gt;Lco瞬跳時間4,k0four/((POWER($A170,alfa04))-1)*(t0four/beta04),Lco瞬跳時間4)," ")</f>
        <v>0.48348941142039509</v>
      </c>
      <c r="S170">
        <f t="shared" si="98"/>
        <v>2500</v>
      </c>
      <c r="T170">
        <f t="shared" si="99"/>
        <v>150</v>
      </c>
      <c r="V170">
        <f t="shared" si="100"/>
        <v>0.85</v>
      </c>
      <c r="W170">
        <f>IF(协调曲线图!$S$36="是，LCO绘图",IF((k0five/((POWER($A170,alfa05))-1)*(t0five/beta05))&gt;Lco瞬跳時間5,k0five/((POWER($A170,alfa05))-1)*(t0five/beta05),Lco瞬跳時間5)," ")</f>
        <v>0.57139657713319425</v>
      </c>
      <c r="X170">
        <f t="shared" si="101"/>
        <v>3000</v>
      </c>
      <c r="Y170">
        <f t="shared" si="102"/>
        <v>150</v>
      </c>
      <c r="AA170">
        <f t="shared" si="103"/>
        <v>1.05</v>
      </c>
      <c r="AB170">
        <f>IF(协调曲线图!$S$43="是，LCO绘图",IF((k0six/((POWER($A170,alfa06))-1)*(t0six/beta06))&gt;Lco瞬跳時間6,k0six/((POWER($A170,alfa06))-1)*(t0six/beta06),Lco瞬跳時間6)," ")</f>
        <v>0.70325732570239285</v>
      </c>
      <c r="AC170">
        <f t="shared" si="104"/>
        <v>5000</v>
      </c>
      <c r="AD170">
        <f t="shared" si="105"/>
        <v>300</v>
      </c>
    </row>
    <row r="171" spans="1:30">
      <c r="A171">
        <v>164</v>
      </c>
      <c r="B171">
        <f t="shared" si="90"/>
        <v>0.05</v>
      </c>
      <c r="C171">
        <f>IF(协调曲线图!$S$8="是，LCO绘图",IF((k0one/((POWER($A171,alfa01))-1)*(t0one/beta01))&gt;Lco瞬跳時間1,k0one/((POWER($A171,alfa01))-1)*(t0one/beta01),Lco瞬跳時間1)," ")</f>
        <v>0.2194906954574663</v>
      </c>
      <c r="D171">
        <f t="shared" si="106"/>
        <v>1050</v>
      </c>
      <c r="E171">
        <f t="shared" si="107"/>
        <v>150</v>
      </c>
      <c r="G171">
        <f t="shared" si="91"/>
        <v>0.25</v>
      </c>
      <c r="H171">
        <f>IF(协调曲线图!$S$15="是，LCO绘图",IF((k0two/((POWER($A171,alfa02))-1)*(t0two/beta02))&gt;Lco瞬跳時間2,k0two/((POWER($A171,alfa02))-1)*(t0two/beta02),Lco瞬跳時間2)," ")</f>
        <v>0.30728697364045282</v>
      </c>
      <c r="I171">
        <f t="shared" si="92"/>
        <v>1500</v>
      </c>
      <c r="J171">
        <f t="shared" si="93"/>
        <v>150</v>
      </c>
      <c r="L171">
        <f t="shared" si="94"/>
        <v>0.45</v>
      </c>
      <c r="M171">
        <f>IF(协调曲线图!$S$22="是，LCO绘图",IF((k0three/((POWER($A171,alfa03))-1)*(t0three/beta03))&gt;Lco瞬跳時間3,k0three/((POWER($A171,alfa03))-1)*(t0three/beta03),Lco瞬跳時間3)," ")</f>
        <v>0.3950832518234394</v>
      </c>
      <c r="N171">
        <f t="shared" si="95"/>
        <v>2000</v>
      </c>
      <c r="O171">
        <f t="shared" si="96"/>
        <v>150</v>
      </c>
      <c r="Q171">
        <f t="shared" si="97"/>
        <v>0.65</v>
      </c>
      <c r="R171">
        <f>IF(协调曲线图!$S$29="是，LCO绘图",IF((k0four/((POWER($A171,alfa04))-1)*(t0four/beta04))&gt;Lco瞬跳時間4,k0four/((POWER($A171,alfa04))-1)*(t0four/beta04),Lco瞬跳時間4)," ")</f>
        <v>0.48287953000642592</v>
      </c>
      <c r="S171">
        <f t="shared" si="98"/>
        <v>2500</v>
      </c>
      <c r="T171">
        <f t="shared" si="99"/>
        <v>150</v>
      </c>
      <c r="V171">
        <f t="shared" si="100"/>
        <v>0.85</v>
      </c>
      <c r="W171">
        <f>IF(协调曲线图!$S$36="是，LCO绘图",IF((k0five/((POWER($A171,alfa05))-1)*(t0five/beta05))&gt;Lco瞬跳時間5,k0five/((POWER($A171,alfa05))-1)*(t0five/beta05),Lco瞬跳時間5)," ")</f>
        <v>0.57067580818941244</v>
      </c>
      <c r="X171">
        <f t="shared" si="101"/>
        <v>3000</v>
      </c>
      <c r="Y171">
        <f t="shared" si="102"/>
        <v>150</v>
      </c>
      <c r="AA171">
        <f t="shared" si="103"/>
        <v>1.05</v>
      </c>
      <c r="AB171">
        <f>IF(协调曲线图!$S$43="是，LCO绘图",IF((k0six/((POWER($A171,alfa06))-1)*(t0six/beta06))&gt;Lco瞬跳時間6,k0six/((POWER($A171,alfa06))-1)*(t0six/beta06),Lco瞬跳時間6)," ")</f>
        <v>0.70237022546389227</v>
      </c>
      <c r="AC171">
        <f t="shared" si="104"/>
        <v>5000</v>
      </c>
      <c r="AD171">
        <f t="shared" si="105"/>
        <v>300</v>
      </c>
    </row>
    <row r="172" spans="1:30">
      <c r="A172">
        <v>165</v>
      </c>
      <c r="B172">
        <f t="shared" si="90"/>
        <v>0.05</v>
      </c>
      <c r="C172">
        <f>IF(协调曲线图!$S$8="是，LCO绘图",IF((k0one/((POWER($A172,alfa01))-1)*(t0one/beta01))&gt;Lco瞬跳時間1,k0one/((POWER($A172,alfa01))-1)*(t0one/beta01),Lco瞬跳時間1)," ")</f>
        <v>0.21921582053092475</v>
      </c>
      <c r="D172">
        <f t="shared" si="106"/>
        <v>1050</v>
      </c>
      <c r="E172">
        <f t="shared" si="107"/>
        <v>150</v>
      </c>
      <c r="G172">
        <f t="shared" si="91"/>
        <v>0.25</v>
      </c>
      <c r="H172">
        <f>IF(协调曲线图!$S$15="是，LCO绘图",IF((k0two/((POWER($A172,alfa02))-1)*(t0two/beta02))&gt;Lco瞬跳時間2,k0two/((POWER($A172,alfa02))-1)*(t0two/beta02),Lco瞬跳時間2)," ")</f>
        <v>0.30690214874329469</v>
      </c>
      <c r="I172">
        <f t="shared" si="92"/>
        <v>1500</v>
      </c>
      <c r="J172">
        <f t="shared" si="93"/>
        <v>150</v>
      </c>
      <c r="L172">
        <f t="shared" si="94"/>
        <v>0.45</v>
      </c>
      <c r="M172">
        <f>IF(协调曲线图!$S$22="是，LCO绘图",IF((k0three/((POWER($A172,alfa03))-1)*(t0three/beta03))&gt;Lco瞬跳時間3,k0three/((POWER($A172,alfa03))-1)*(t0three/beta03),Lco瞬跳時間3)," ")</f>
        <v>0.39458847695566462</v>
      </c>
      <c r="N172">
        <f t="shared" si="95"/>
        <v>2000</v>
      </c>
      <c r="O172">
        <f t="shared" si="96"/>
        <v>150</v>
      </c>
      <c r="Q172">
        <f t="shared" si="97"/>
        <v>0.65</v>
      </c>
      <c r="R172">
        <f>IF(协调曲线图!$S$29="是，LCO绘图",IF((k0four/((POWER($A172,alfa04))-1)*(t0four/beta04))&gt;Lco瞬跳時間4,k0four/((POWER($A172,alfa04))-1)*(t0four/beta04),Lco瞬跳時間4)," ")</f>
        <v>0.4822748051680345</v>
      </c>
      <c r="S172">
        <f t="shared" si="98"/>
        <v>2500</v>
      </c>
      <c r="T172">
        <f t="shared" si="99"/>
        <v>150</v>
      </c>
      <c r="V172">
        <f t="shared" si="100"/>
        <v>0.85</v>
      </c>
      <c r="W172">
        <f>IF(协调曲线图!$S$36="是，LCO绘图",IF((k0five/((POWER($A172,alfa05))-1)*(t0five/beta05))&gt;Lco瞬跳時間5,k0five/((POWER($A172,alfa05))-1)*(t0five/beta05),Lco瞬跳時間5)," ")</f>
        <v>0.56996113338040444</v>
      </c>
      <c r="X172">
        <f t="shared" si="101"/>
        <v>3000</v>
      </c>
      <c r="Y172">
        <f t="shared" si="102"/>
        <v>150</v>
      </c>
      <c r="AA172">
        <f t="shared" si="103"/>
        <v>1.05</v>
      </c>
      <c r="AB172">
        <f>IF(协调曲线图!$S$43="是，LCO绘图",IF((k0six/((POWER($A172,alfa06))-1)*(t0six/beta06))&gt;Lco瞬跳時間6,k0six/((POWER($A172,alfa06))-1)*(t0six/beta06),Lco瞬跳時間6)," ")</f>
        <v>0.70149062569895926</v>
      </c>
      <c r="AC172">
        <f t="shared" si="104"/>
        <v>5000</v>
      </c>
      <c r="AD172">
        <f t="shared" si="105"/>
        <v>300</v>
      </c>
    </row>
    <row r="173" spans="1:30">
      <c r="A173">
        <v>166</v>
      </c>
      <c r="B173">
        <f t="shared" si="90"/>
        <v>0.05</v>
      </c>
      <c r="C173">
        <f>IF(协调曲线图!$S$8="是，LCO绘图",IF((k0one/((POWER($A173,alfa01))-1)*(t0one/beta01))&gt;Lco瞬跳時間1,k0one/((POWER($A173,alfa01))-1)*(t0one/beta01),Lco瞬跳時間1)," ")</f>
        <v>0.21894325488767452</v>
      </c>
      <c r="D173">
        <f t="shared" si="106"/>
        <v>1050</v>
      </c>
      <c r="E173">
        <f t="shared" si="107"/>
        <v>150</v>
      </c>
      <c r="G173">
        <f t="shared" si="91"/>
        <v>0.25</v>
      </c>
      <c r="H173">
        <f>IF(协调曲线图!$S$15="是，LCO绘图",IF((k0two/((POWER($A173,alfa02))-1)*(t0two/beta02))&gt;Lco瞬跳時間2,k0two/((POWER($A173,alfa02))-1)*(t0two/beta02),Lco瞬跳時間2)," ")</f>
        <v>0.30652055684274437</v>
      </c>
      <c r="I173">
        <f t="shared" si="92"/>
        <v>1500</v>
      </c>
      <c r="J173">
        <f t="shared" si="93"/>
        <v>150</v>
      </c>
      <c r="L173">
        <f t="shared" si="94"/>
        <v>0.45</v>
      </c>
      <c r="M173">
        <f>IF(协调曲线图!$S$22="是，LCO绘图",IF((k0three/((POWER($A173,alfa03))-1)*(t0three/beta03))&gt;Lco瞬跳時間3,k0three/((POWER($A173,alfa03))-1)*(t0three/beta03),Lco瞬跳時間3)," ")</f>
        <v>0.39409785879781423</v>
      </c>
      <c r="N173">
        <f t="shared" si="95"/>
        <v>2000</v>
      </c>
      <c r="O173">
        <f t="shared" si="96"/>
        <v>150</v>
      </c>
      <c r="Q173">
        <f t="shared" si="97"/>
        <v>0.65</v>
      </c>
      <c r="R173">
        <f>IF(协调曲线图!$S$29="是，LCO绘图",IF((k0four/((POWER($A173,alfa04))-1)*(t0four/beta04))&gt;Lco瞬跳時間4,k0four/((POWER($A173,alfa04))-1)*(t0four/beta04),Lco瞬跳時間4)," ")</f>
        <v>0.48167516075288397</v>
      </c>
      <c r="S173">
        <f t="shared" si="98"/>
        <v>2500</v>
      </c>
      <c r="T173">
        <f t="shared" si="99"/>
        <v>150</v>
      </c>
      <c r="V173">
        <f t="shared" si="100"/>
        <v>0.85</v>
      </c>
      <c r="W173">
        <f>IF(协调曲线图!$S$36="是，LCO绘图",IF((k0five/((POWER($A173,alfa05))-1)*(t0five/beta05))&gt;Lco瞬跳時間5,k0five/((POWER($A173,alfa05))-1)*(t0five/beta05),Lco瞬跳時間5)," ")</f>
        <v>0.56925246270795382</v>
      </c>
      <c r="X173">
        <f t="shared" si="101"/>
        <v>3000</v>
      </c>
      <c r="Y173">
        <f t="shared" si="102"/>
        <v>150</v>
      </c>
      <c r="AA173">
        <f t="shared" si="103"/>
        <v>1.05</v>
      </c>
      <c r="AB173">
        <f>IF(协调曲线图!$S$43="是，LCO绘图",IF((k0six/((POWER($A173,alfa06))-1)*(t0six/beta06))&gt;Lco瞬跳時間6,k0six/((POWER($A173,alfa06))-1)*(t0six/beta06),Lco瞬跳時間6)," ")</f>
        <v>0.7006184156405586</v>
      </c>
      <c r="AC173">
        <f t="shared" si="104"/>
        <v>5000</v>
      </c>
      <c r="AD173">
        <f t="shared" si="105"/>
        <v>300</v>
      </c>
    </row>
    <row r="174" spans="1:30">
      <c r="A174">
        <v>167</v>
      </c>
      <c r="B174">
        <f t="shared" si="90"/>
        <v>0.05</v>
      </c>
      <c r="C174">
        <f>IF(协调曲线图!$S$8="是，LCO绘图",IF((k0one/((POWER($A174,alfa01))-1)*(t0one/beta01))&gt;Lco瞬跳時間1,k0one/((POWER($A174,alfa01))-1)*(t0one/beta01),Lco瞬跳時間1)," ")</f>
        <v>0.21867296463669522</v>
      </c>
      <c r="D174">
        <f t="shared" si="106"/>
        <v>1050</v>
      </c>
      <c r="E174">
        <f t="shared" si="107"/>
        <v>150</v>
      </c>
      <c r="G174">
        <f t="shared" si="91"/>
        <v>0.25</v>
      </c>
      <c r="H174">
        <f>IF(协调曲线图!$S$15="是，LCO绘图",IF((k0two/((POWER($A174,alfa02))-1)*(t0two/beta02))&gt;Lco瞬跳時間2,k0two/((POWER($A174,alfa02))-1)*(t0two/beta02),Lco瞬跳時間2)," ")</f>
        <v>0.30614215049137333</v>
      </c>
      <c r="I174">
        <f t="shared" si="92"/>
        <v>1500</v>
      </c>
      <c r="J174">
        <f t="shared" si="93"/>
        <v>150</v>
      </c>
      <c r="L174">
        <f t="shared" si="94"/>
        <v>0.45</v>
      </c>
      <c r="M174">
        <f>IF(协调曲线图!$S$22="是，LCO绘图",IF((k0three/((POWER($A174,alfa03))-1)*(t0three/beta03))&gt;Lco瞬跳時間3,k0three/((POWER($A174,alfa03))-1)*(t0three/beta03),Lco瞬跳時間3)," ")</f>
        <v>0.39361133634605144</v>
      </c>
      <c r="N174">
        <f t="shared" si="95"/>
        <v>2000</v>
      </c>
      <c r="O174">
        <f t="shared" si="96"/>
        <v>150</v>
      </c>
      <c r="Q174">
        <f t="shared" si="97"/>
        <v>0.65</v>
      </c>
      <c r="R174">
        <f>IF(协调曲线图!$S$29="是，LCO绘图",IF((k0four/((POWER($A174,alfa04))-1)*(t0four/beta04))&gt;Lco瞬跳時間4,k0four/((POWER($A174,alfa04))-1)*(t0four/beta04),Lco瞬跳時間4)," ")</f>
        <v>0.48108052220072955</v>
      </c>
      <c r="S174">
        <f t="shared" si="98"/>
        <v>2500</v>
      </c>
      <c r="T174">
        <f t="shared" si="99"/>
        <v>150</v>
      </c>
      <c r="V174">
        <f t="shared" si="100"/>
        <v>0.85</v>
      </c>
      <c r="W174">
        <f>IF(协调曲线图!$S$36="是，LCO绘图",IF((k0five/((POWER($A174,alfa05))-1)*(t0five/beta05))&gt;Lco瞬跳時間5,k0five/((POWER($A174,alfa05))-1)*(t0five/beta05),Lco瞬跳時間5)," ")</f>
        <v>0.56854970805540772</v>
      </c>
      <c r="X174">
        <f t="shared" si="101"/>
        <v>3000</v>
      </c>
      <c r="Y174">
        <f t="shared" si="102"/>
        <v>150</v>
      </c>
      <c r="AA174">
        <f t="shared" si="103"/>
        <v>1.05</v>
      </c>
      <c r="AB174">
        <f>IF(协调曲线图!$S$43="是，LCO绘图",IF((k0six/((POWER($A174,alfa06))-1)*(t0six/beta06))&gt;Lco瞬跳時間6,k0six/((POWER($A174,alfa06))-1)*(t0six/beta06),Lco瞬跳時間6)," ")</f>
        <v>0.69975348683742478</v>
      </c>
      <c r="AC174">
        <f t="shared" si="104"/>
        <v>5000</v>
      </c>
      <c r="AD174">
        <f t="shared" si="105"/>
        <v>300</v>
      </c>
    </row>
    <row r="175" spans="1:30">
      <c r="A175">
        <v>168</v>
      </c>
      <c r="B175">
        <f t="shared" si="90"/>
        <v>0.05</v>
      </c>
      <c r="C175">
        <f>IF(协调曲线图!$S$8="是，LCO绘图",IF((k0one/((POWER($A175,alfa01))-1)*(t0one/beta01))&gt;Lco瞬跳時間1,k0one/((POWER($A175,alfa01))-1)*(t0one/beta01),Lco瞬跳時間1)," ")</f>
        <v>0.21840491659115802</v>
      </c>
      <c r="D175">
        <f t="shared" si="106"/>
        <v>1050</v>
      </c>
      <c r="E175">
        <f t="shared" si="107"/>
        <v>150</v>
      </c>
      <c r="G175">
        <f t="shared" si="91"/>
        <v>0.25</v>
      </c>
      <c r="H175">
        <f>IF(协调曲线图!$S$15="是，LCO绘图",IF((k0two/((POWER($A175,alfa02))-1)*(t0two/beta02))&gt;Lco瞬跳時間2,k0two/((POWER($A175,alfa02))-1)*(t0two/beta02),Lco瞬跳時間2)," ")</f>
        <v>0.30576688322762124</v>
      </c>
      <c r="I175">
        <f t="shared" si="92"/>
        <v>1500</v>
      </c>
      <c r="J175">
        <f t="shared" si="93"/>
        <v>150</v>
      </c>
      <c r="L175">
        <f t="shared" si="94"/>
        <v>0.45</v>
      </c>
      <c r="M175">
        <f>IF(协调曲线图!$S$22="是，LCO绘图",IF((k0three/((POWER($A175,alfa03))-1)*(t0three/beta03))&gt;Lco瞬跳時間3,k0three/((POWER($A175,alfa03))-1)*(t0three/beta03),Lco瞬跳時間3)," ")</f>
        <v>0.39312884986408447</v>
      </c>
      <c r="N175">
        <f t="shared" si="95"/>
        <v>2000</v>
      </c>
      <c r="O175">
        <f t="shared" si="96"/>
        <v>150</v>
      </c>
      <c r="Q175">
        <f t="shared" si="97"/>
        <v>0.65</v>
      </c>
      <c r="R175">
        <f>IF(协调曲线图!$S$29="是，LCO绘图",IF((k0four/((POWER($A175,alfa04))-1)*(t0four/beta04))&gt;Lco瞬跳時間4,k0four/((POWER($A175,alfa04))-1)*(t0four/beta04),Lco瞬跳時間4)," ")</f>
        <v>0.48049081650054765</v>
      </c>
      <c r="S175">
        <f t="shared" si="98"/>
        <v>2500</v>
      </c>
      <c r="T175">
        <f t="shared" si="99"/>
        <v>150</v>
      </c>
      <c r="V175">
        <f t="shared" si="100"/>
        <v>0.85</v>
      </c>
      <c r="W175">
        <f>IF(协调曲线图!$S$36="是，LCO绘图",IF((k0five/((POWER($A175,alfa05))-1)*(t0five/beta05))&gt;Lco瞬跳時間5,k0five/((POWER($A175,alfa05))-1)*(t0five/beta05),Lco瞬跳時間5)," ")</f>
        <v>0.56785278313701093</v>
      </c>
      <c r="X175">
        <f t="shared" si="101"/>
        <v>3000</v>
      </c>
      <c r="Y175">
        <f t="shared" si="102"/>
        <v>150</v>
      </c>
      <c r="AA175">
        <f t="shared" si="103"/>
        <v>1.05</v>
      </c>
      <c r="AB175">
        <f>IF(协调曲线图!$S$43="是，LCO绘图",IF((k0six/((POWER($A175,alfa06))-1)*(t0six/beta06))&gt;Lco瞬跳時間6,k0six/((POWER($A175,alfa06))-1)*(t0six/beta06),Lco瞬跳時間6)," ")</f>
        <v>0.69889573309170572</v>
      </c>
      <c r="AC175">
        <f t="shared" si="104"/>
        <v>5000</v>
      </c>
      <c r="AD175">
        <f t="shared" si="105"/>
        <v>300</v>
      </c>
    </row>
    <row r="176" spans="1:30">
      <c r="A176">
        <v>169</v>
      </c>
      <c r="B176">
        <f t="shared" si="90"/>
        <v>0.05</v>
      </c>
      <c r="C176">
        <f>IF(协调曲线图!$S$8="是，LCO绘图",IF((k0one/((POWER($A176,alfa01))-1)*(t0one/beta01))&gt;Lco瞬跳時間1,k0one/((POWER($A176,alfa01))-1)*(t0one/beta01),Lco瞬跳時間1)," ")</f>
        <v>0.21813907824957726</v>
      </c>
      <c r="D176">
        <f t="shared" si="106"/>
        <v>1050</v>
      </c>
      <c r="E176">
        <f t="shared" si="107"/>
        <v>150</v>
      </c>
      <c r="G176">
        <f t="shared" si="91"/>
        <v>0.25</v>
      </c>
      <c r="H176">
        <f>IF(协调曲线图!$S$15="是，LCO绘图",IF((k0two/((POWER($A176,alfa02))-1)*(t0two/beta02))&gt;Lco瞬跳時間2,k0two/((POWER($A176,alfa02))-1)*(t0two/beta02),Lco瞬跳時間2)," ")</f>
        <v>0.30539470954940817</v>
      </c>
      <c r="I176">
        <f t="shared" si="92"/>
        <v>1500</v>
      </c>
      <c r="J176">
        <f t="shared" si="93"/>
        <v>150</v>
      </c>
      <c r="L176">
        <f t="shared" si="94"/>
        <v>0.45</v>
      </c>
      <c r="M176">
        <f>IF(协调曲线图!$S$22="是，LCO绘图",IF((k0three/((POWER($A176,alfa03))-1)*(t0three/beta03))&gt;Lco瞬跳時間3,k0three/((POWER($A176,alfa03))-1)*(t0three/beta03),Lco瞬跳時間3)," ")</f>
        <v>0.39265034084923911</v>
      </c>
      <c r="N176">
        <f t="shared" si="95"/>
        <v>2000</v>
      </c>
      <c r="O176">
        <f t="shared" si="96"/>
        <v>150</v>
      </c>
      <c r="Q176">
        <f t="shared" si="97"/>
        <v>0.65</v>
      </c>
      <c r="R176">
        <f>IF(协调曲线图!$S$29="是，LCO绘图",IF((k0four/((POWER($A176,alfa04))-1)*(t0four/beta04))&gt;Lco瞬跳時間4,k0four/((POWER($A176,alfa04))-1)*(t0four/beta04),Lco瞬跳時間4)," ")</f>
        <v>0.47990597214906999</v>
      </c>
      <c r="S176">
        <f t="shared" si="98"/>
        <v>2500</v>
      </c>
      <c r="T176">
        <f t="shared" si="99"/>
        <v>150</v>
      </c>
      <c r="V176">
        <f t="shared" si="100"/>
        <v>0.85</v>
      </c>
      <c r="W176">
        <f>IF(协调曲线图!$S$36="是，LCO绘图",IF((k0five/((POWER($A176,alfa05))-1)*(t0five/beta05))&gt;Lco瞬跳時間5,k0five/((POWER($A176,alfa05))-1)*(t0five/beta05),Lco瞬跳時間5)," ")</f>
        <v>0.56716160344890099</v>
      </c>
      <c r="X176">
        <f t="shared" si="101"/>
        <v>3000</v>
      </c>
      <c r="Y176">
        <f t="shared" si="102"/>
        <v>150</v>
      </c>
      <c r="AA176">
        <f t="shared" si="103"/>
        <v>1.05</v>
      </c>
      <c r="AB176">
        <f>IF(协调曲线图!$S$43="是，LCO绘图",IF((k0six/((POWER($A176,alfa06))-1)*(t0six/beta06))&gt;Lco瞬跳時間6,k0six/((POWER($A176,alfa06))-1)*(t0six/beta06),Lco瞬跳時間6)," ")</f>
        <v>0.69804505039864728</v>
      </c>
      <c r="AC176">
        <f t="shared" si="104"/>
        <v>5000</v>
      </c>
      <c r="AD176">
        <f t="shared" si="105"/>
        <v>300</v>
      </c>
    </row>
    <row r="177" spans="1:30">
      <c r="A177">
        <v>170</v>
      </c>
      <c r="B177">
        <f t="shared" si="90"/>
        <v>0.05</v>
      </c>
      <c r="C177">
        <f>IF(协调曲线图!$S$8="是，LCO绘图",IF((k0one/((POWER($A177,alfa01))-1)*(t0one/beta01))&gt;Lco瞬跳時間1,k0one/((POWER($A177,alfa01))-1)*(t0one/beta01),Lco瞬跳時間1)," ")</f>
        <v>0.21787541777758235</v>
      </c>
      <c r="D177">
        <f t="shared" si="106"/>
        <v>1050</v>
      </c>
      <c r="E177">
        <f t="shared" si="107"/>
        <v>150</v>
      </c>
      <c r="G177">
        <f t="shared" si="91"/>
        <v>0.25</v>
      </c>
      <c r="H177">
        <f>IF(协调曲线图!$S$15="是，LCO绘图",IF((k0two/((POWER($A177,alfa02))-1)*(t0two/beta02))&gt;Lco瞬跳時間2,k0two/((POWER($A177,alfa02))-1)*(t0two/beta02),Lco瞬跳時間2)," ")</f>
        <v>0.30502558488861531</v>
      </c>
      <c r="I177">
        <f t="shared" si="92"/>
        <v>1500</v>
      </c>
      <c r="J177">
        <f t="shared" si="93"/>
        <v>150</v>
      </c>
      <c r="L177">
        <f t="shared" si="94"/>
        <v>0.45</v>
      </c>
      <c r="M177">
        <f>IF(协调曲线图!$S$22="是，LCO绘图",IF((k0three/((POWER($A177,alfa03))-1)*(t0three/beta03))&gt;Lco瞬跳時間3,k0three/((POWER($A177,alfa03))-1)*(t0three/beta03),Lco瞬跳時間3)," ")</f>
        <v>0.39217575199964827</v>
      </c>
      <c r="N177">
        <f t="shared" si="95"/>
        <v>2000</v>
      </c>
      <c r="O177">
        <f t="shared" si="96"/>
        <v>150</v>
      </c>
      <c r="Q177">
        <f t="shared" si="97"/>
        <v>0.65</v>
      </c>
      <c r="R177">
        <f>IF(协调曲线图!$S$29="是，LCO绘图",IF((k0four/((POWER($A177,alfa04))-1)*(t0four/beta04))&gt;Lco瞬跳時間4,k0four/((POWER($A177,alfa04))-1)*(t0four/beta04),Lco瞬跳時間4)," ")</f>
        <v>0.47932591911068118</v>
      </c>
      <c r="S177">
        <f t="shared" si="98"/>
        <v>2500</v>
      </c>
      <c r="T177">
        <f t="shared" si="99"/>
        <v>150</v>
      </c>
      <c r="V177">
        <f t="shared" si="100"/>
        <v>0.85</v>
      </c>
      <c r="W177">
        <f>IF(协调曲线图!$S$36="是，LCO绘图",IF((k0five/((POWER($A177,alfa05))-1)*(t0five/beta05))&gt;Lco瞬跳時間5,k0five/((POWER($A177,alfa05))-1)*(t0five/beta05),Lco瞬跳時間5)," ")</f>
        <v>0.56647608622171419</v>
      </c>
      <c r="X177">
        <f t="shared" si="101"/>
        <v>3000</v>
      </c>
      <c r="Y177">
        <f t="shared" si="102"/>
        <v>150</v>
      </c>
      <c r="AA177">
        <f t="shared" si="103"/>
        <v>1.05</v>
      </c>
      <c r="AB177">
        <f>IF(协调曲线图!$S$43="是，LCO绘图",IF((k0six/((POWER($A177,alfa06))-1)*(t0six/beta06))&gt;Lco瞬跳時間6,k0six/((POWER($A177,alfa06))-1)*(t0six/beta06),Lco瞬跳時間6)," ")</f>
        <v>0.69720133688826358</v>
      </c>
      <c r="AC177">
        <f t="shared" si="104"/>
        <v>5000</v>
      </c>
      <c r="AD177">
        <f t="shared" si="105"/>
        <v>300</v>
      </c>
    </row>
    <row r="178" spans="1:30">
      <c r="A178">
        <v>171</v>
      </c>
      <c r="B178">
        <f t="shared" si="90"/>
        <v>0.05</v>
      </c>
      <c r="C178">
        <f>IF(协调曲线图!$S$8="是，LCO绘图",IF((k0one/((POWER($A178,alfa01))-1)*(t0one/beta01))&gt;Lco瞬跳時間1,k0one/((POWER($A178,alfa01))-1)*(t0one/beta01),Lco瞬跳時間1)," ")</f>
        <v>0.21761390399027647</v>
      </c>
      <c r="D178">
        <f t="shared" si="106"/>
        <v>1050</v>
      </c>
      <c r="E178">
        <f t="shared" si="107"/>
        <v>150</v>
      </c>
      <c r="G178">
        <f t="shared" si="91"/>
        <v>0.25</v>
      </c>
      <c r="H178">
        <f>IF(协调曲线图!$S$15="是，LCO绘图",IF((k0two/((POWER($A178,alfa02))-1)*(t0two/beta02))&gt;Lco瞬跳時間2,k0two/((POWER($A178,alfa02))-1)*(t0two/beta02),Lco瞬跳時間2)," ")</f>
        <v>0.30465946558638707</v>
      </c>
      <c r="I178">
        <f t="shared" si="92"/>
        <v>1500</v>
      </c>
      <c r="J178">
        <f t="shared" si="93"/>
        <v>150</v>
      </c>
      <c r="L178">
        <f t="shared" si="94"/>
        <v>0.45</v>
      </c>
      <c r="M178">
        <f>IF(协调曲线图!$S$22="是，LCO绘图",IF((k0three/((POWER($A178,alfa03))-1)*(t0three/beta03))&gt;Lco瞬跳時間3,k0three/((POWER($A178,alfa03))-1)*(t0three/beta03),Lco瞬跳時間3)," ")</f>
        <v>0.39170502718249772</v>
      </c>
      <c r="N178">
        <f t="shared" si="95"/>
        <v>2000</v>
      </c>
      <c r="O178">
        <f t="shared" si="96"/>
        <v>150</v>
      </c>
      <c r="Q178">
        <f t="shared" si="97"/>
        <v>0.65</v>
      </c>
      <c r="R178">
        <f>IF(协调曲线图!$S$29="是，LCO绘图",IF((k0four/((POWER($A178,alfa04))-1)*(t0four/beta04))&gt;Lco瞬跳時間4,k0four/((POWER($A178,alfa04))-1)*(t0four/beta04),Lco瞬跳時間4)," ")</f>
        <v>0.47875058877860827</v>
      </c>
      <c r="S178">
        <f t="shared" si="98"/>
        <v>2500</v>
      </c>
      <c r="T178">
        <f t="shared" si="99"/>
        <v>150</v>
      </c>
      <c r="V178">
        <f t="shared" si="100"/>
        <v>0.85</v>
      </c>
      <c r="W178">
        <f>IF(协调曲线图!$S$36="是，LCO绘图",IF((k0five/((POWER($A178,alfa05))-1)*(t0five/beta05))&gt;Lco瞬跳時間5,k0five/((POWER($A178,alfa05))-1)*(t0five/beta05),Lco瞬跳時間5)," ")</f>
        <v>0.56579615037471886</v>
      </c>
      <c r="X178">
        <f t="shared" si="101"/>
        <v>3000</v>
      </c>
      <c r="Y178">
        <f t="shared" si="102"/>
        <v>150</v>
      </c>
      <c r="AA178">
        <f t="shared" si="103"/>
        <v>1.05</v>
      </c>
      <c r="AB178">
        <f>IF(协调曲线图!$S$43="是，LCO绘图",IF((k0six/((POWER($A178,alfa06))-1)*(t0six/beta06))&gt;Lco瞬跳時間6,k0six/((POWER($A178,alfa06))-1)*(t0six/beta06),Lco瞬跳時間6)," ")</f>
        <v>0.69636449276888479</v>
      </c>
      <c r="AC178">
        <f t="shared" si="104"/>
        <v>5000</v>
      </c>
      <c r="AD178">
        <f t="shared" si="105"/>
        <v>300</v>
      </c>
    </row>
    <row r="179" spans="1:30">
      <c r="A179">
        <v>172</v>
      </c>
      <c r="B179">
        <f t="shared" si="90"/>
        <v>0.05</v>
      </c>
      <c r="C179">
        <f>IF(协调曲线图!$S$8="是，LCO绘图",IF((k0one/((POWER($A179,alfa01))-1)*(t0one/beta01))&gt;Lco瞬跳時間1,k0one/((POWER($A179,alfa01))-1)*(t0one/beta01),Lco瞬跳時間1)," ")</f>
        <v>0.21735450633516837</v>
      </c>
      <c r="D179">
        <f t="shared" si="106"/>
        <v>1050</v>
      </c>
      <c r="E179">
        <f t="shared" si="107"/>
        <v>150</v>
      </c>
      <c r="G179">
        <f t="shared" si="91"/>
        <v>0.25</v>
      </c>
      <c r="H179">
        <f>IF(协调曲线图!$S$15="是，LCO绘图",IF((k0two/((POWER($A179,alfa02))-1)*(t0two/beta02))&gt;Lco瞬跳時間2,k0two/((POWER($A179,alfa02))-1)*(t0two/beta02),Lco瞬跳時間2)," ")</f>
        <v>0.3042963088692357</v>
      </c>
      <c r="I179">
        <f t="shared" si="92"/>
        <v>1500</v>
      </c>
      <c r="J179">
        <f t="shared" si="93"/>
        <v>150</v>
      </c>
      <c r="L179">
        <f t="shared" si="94"/>
        <v>0.45</v>
      </c>
      <c r="M179">
        <f>IF(协调曲线图!$S$22="是，LCO绘图",IF((k0three/((POWER($A179,alfa03))-1)*(t0three/beta03))&gt;Lco瞬跳時間3,k0three/((POWER($A179,alfa03))-1)*(t0three/beta03),Lco瞬跳時間3)," ")</f>
        <v>0.39123811140330311</v>
      </c>
      <c r="N179">
        <f t="shared" si="95"/>
        <v>2000</v>
      </c>
      <c r="O179">
        <f t="shared" si="96"/>
        <v>150</v>
      </c>
      <c r="Q179">
        <f t="shared" si="97"/>
        <v>0.65</v>
      </c>
      <c r="R179">
        <f>IF(协调曲线图!$S$29="是，LCO绘图",IF((k0four/((POWER($A179,alfa04))-1)*(t0four/beta04))&gt;Lco瞬跳時間4,k0four/((POWER($A179,alfa04))-1)*(t0four/beta04),Lco瞬跳時間4)," ")</f>
        <v>0.47817991393737042</v>
      </c>
      <c r="S179">
        <f t="shared" si="98"/>
        <v>2500</v>
      </c>
      <c r="T179">
        <f t="shared" si="99"/>
        <v>150</v>
      </c>
      <c r="V179">
        <f t="shared" si="100"/>
        <v>0.85</v>
      </c>
      <c r="W179">
        <f>IF(协调曲线图!$S$36="是，LCO绘图",IF((k0five/((POWER($A179,alfa05))-1)*(t0five/beta05))&gt;Lco瞬跳時間5,k0five/((POWER($A179,alfa05))-1)*(t0five/beta05),Lco瞬跳時間5)," ")</f>
        <v>0.56512171647143783</v>
      </c>
      <c r="X179">
        <f t="shared" si="101"/>
        <v>3000</v>
      </c>
      <c r="Y179">
        <f t="shared" si="102"/>
        <v>150</v>
      </c>
      <c r="AA179">
        <f t="shared" si="103"/>
        <v>1.05</v>
      </c>
      <c r="AB179">
        <f>IF(协调曲线图!$S$43="是，LCO绘图",IF((k0six/((POWER($A179,alfa06))-1)*(t0six/beta06))&gt;Lco瞬跳時間6,k0six/((POWER($A179,alfa06))-1)*(t0six/beta06),Lco瞬跳時間6)," ")</f>
        <v>0.69553442027253887</v>
      </c>
      <c r="AC179">
        <f t="shared" si="104"/>
        <v>5000</v>
      </c>
      <c r="AD179">
        <f t="shared" si="105"/>
        <v>300</v>
      </c>
    </row>
    <row r="180" spans="1:30">
      <c r="A180">
        <v>173</v>
      </c>
      <c r="B180">
        <f t="shared" si="90"/>
        <v>0.05</v>
      </c>
      <c r="C180">
        <f>IF(协调曲线图!$S$8="是，LCO绘图",IF((k0one/((POWER($A180,alfa01))-1)*(t0one/beta01))&gt;Lco瞬跳時間1,k0one/((POWER($A180,alfa01))-1)*(t0one/beta01),Lco瞬跳時間1)," ")</f>
        <v>0.21709719487564805</v>
      </c>
      <c r="D180">
        <f t="shared" si="106"/>
        <v>1050</v>
      </c>
      <c r="E180">
        <f t="shared" si="107"/>
        <v>150</v>
      </c>
      <c r="G180">
        <f t="shared" si="91"/>
        <v>0.25</v>
      </c>
      <c r="H180">
        <f>IF(协调曲线图!$S$15="是，LCO绘图",IF((k0two/((POWER($A180,alfa02))-1)*(t0two/beta02))&gt;Lco瞬跳時間2,k0two/((POWER($A180,alfa02))-1)*(t0two/beta02),Lco瞬跳時間2)," ")</f>
        <v>0.30393607282590729</v>
      </c>
      <c r="I180">
        <f t="shared" si="92"/>
        <v>1500</v>
      </c>
      <c r="J180">
        <f t="shared" si="93"/>
        <v>150</v>
      </c>
      <c r="L180">
        <f t="shared" si="94"/>
        <v>0.45</v>
      </c>
      <c r="M180">
        <f>IF(协调曲线图!$S$22="是，LCO绘图",IF((k0three/((POWER($A180,alfa03))-1)*(t0three/beta03))&gt;Lco瞬跳時間3,k0three/((POWER($A180,alfa03))-1)*(t0three/beta03),Lco瞬跳時間3)," ")</f>
        <v>0.39077495077616653</v>
      </c>
      <c r="N180">
        <f t="shared" si="95"/>
        <v>2000</v>
      </c>
      <c r="O180">
        <f t="shared" si="96"/>
        <v>150</v>
      </c>
      <c r="Q180">
        <f t="shared" si="97"/>
        <v>0.65</v>
      </c>
      <c r="R180">
        <f>IF(协调曲线图!$S$29="是，LCO绘图",IF((k0four/((POWER($A180,alfa04))-1)*(t0four/beta04))&gt;Lco瞬跳時間4,k0four/((POWER($A180,alfa04))-1)*(t0four/beta04),Lco瞬跳時間4)," ")</f>
        <v>0.47761382872642577</v>
      </c>
      <c r="S180">
        <f t="shared" si="98"/>
        <v>2500</v>
      </c>
      <c r="T180">
        <f t="shared" si="99"/>
        <v>150</v>
      </c>
      <c r="V180">
        <f t="shared" si="100"/>
        <v>0.85</v>
      </c>
      <c r="W180">
        <f>IF(协调曲线图!$S$36="是，LCO绘图",IF((k0five/((POWER($A180,alfa05))-1)*(t0five/beta05))&gt;Lco瞬跳時間5,k0five/((POWER($A180,alfa05))-1)*(t0five/beta05),Lco瞬跳時間5)," ")</f>
        <v>0.56445270667668501</v>
      </c>
      <c r="X180">
        <f t="shared" si="101"/>
        <v>3000</v>
      </c>
      <c r="Y180">
        <f t="shared" si="102"/>
        <v>150</v>
      </c>
      <c r="AA180">
        <f t="shared" si="103"/>
        <v>1.05</v>
      </c>
      <c r="AB180">
        <f>IF(协调曲线图!$S$43="是，LCO绘图",IF((k0six/((POWER($A180,alfa06))-1)*(t0six/beta06))&gt;Lco瞬跳時間6,k0six/((POWER($A180,alfa06))-1)*(t0six/beta06),Lco瞬跳時間6)," ")</f>
        <v>0.69471102360207382</v>
      </c>
      <c r="AC180">
        <f t="shared" si="104"/>
        <v>5000</v>
      </c>
      <c r="AD180">
        <f t="shared" si="105"/>
        <v>300</v>
      </c>
    </row>
    <row r="181" spans="1:30">
      <c r="A181">
        <v>174</v>
      </c>
      <c r="B181">
        <f t="shared" si="90"/>
        <v>0.05</v>
      </c>
      <c r="C181">
        <f>IF(协调曲线图!$S$8="是，LCO绘图",IF((k0one/((POWER($A181,alfa01))-1)*(t0one/beta01))&gt;Lco瞬跳時間1,k0one/((POWER($A181,alfa01))-1)*(t0one/beta01),Lco瞬跳時間1)," ")</f>
        <v>0.21684194027499246</v>
      </c>
      <c r="D181">
        <f t="shared" si="106"/>
        <v>1050</v>
      </c>
      <c r="E181">
        <f t="shared" si="107"/>
        <v>150</v>
      </c>
      <c r="G181">
        <f t="shared" si="91"/>
        <v>0.25</v>
      </c>
      <c r="H181">
        <f>IF(协调曲线图!$S$15="是，LCO绘图",IF((k0two/((POWER($A181,alfa02))-1)*(t0two/beta02))&gt;Lco瞬跳時間2,k0two/((POWER($A181,alfa02))-1)*(t0two/beta02),Lco瞬跳時間2)," ")</f>
        <v>0.30357871638498946</v>
      </c>
      <c r="I181">
        <f t="shared" si="92"/>
        <v>1500</v>
      </c>
      <c r="J181">
        <f t="shared" si="93"/>
        <v>150</v>
      </c>
      <c r="L181">
        <f t="shared" si="94"/>
        <v>0.45</v>
      </c>
      <c r="M181">
        <f>IF(协调曲线图!$S$22="是，LCO绘图",IF((k0three/((POWER($A181,alfa03))-1)*(t0three/beta03))&gt;Lco瞬跳時間3,k0three/((POWER($A181,alfa03))-1)*(t0three/beta03),Lco瞬跳時間3)," ")</f>
        <v>0.39031549249498648</v>
      </c>
      <c r="N181">
        <f t="shared" si="95"/>
        <v>2000</v>
      </c>
      <c r="O181">
        <f t="shared" si="96"/>
        <v>150</v>
      </c>
      <c r="Q181">
        <f t="shared" si="97"/>
        <v>0.65</v>
      </c>
      <c r="R181">
        <f>IF(协调曲线图!$S$29="是，LCO绘图",IF((k0four/((POWER($A181,alfa04))-1)*(t0four/beta04))&gt;Lco瞬跳時間4,k0four/((POWER($A181,alfa04))-1)*(t0four/beta04),Lco瞬跳時間4)," ")</f>
        <v>0.47705226860498345</v>
      </c>
      <c r="S181">
        <f t="shared" si="98"/>
        <v>2500</v>
      </c>
      <c r="T181">
        <f t="shared" si="99"/>
        <v>150</v>
      </c>
      <c r="V181">
        <f t="shared" si="100"/>
        <v>0.85</v>
      </c>
      <c r="W181">
        <f>IF(协调曲线图!$S$36="是，LCO绘图",IF((k0five/((POWER($A181,alfa05))-1)*(t0five/beta05))&gt;Lco瞬跳時間5,k0five/((POWER($A181,alfa05))-1)*(t0five/beta05),Lco瞬跳時間5)," ")</f>
        <v>0.56378904471498048</v>
      </c>
      <c r="X181">
        <f t="shared" si="101"/>
        <v>3000</v>
      </c>
      <c r="Y181">
        <f t="shared" si="102"/>
        <v>150</v>
      </c>
      <c r="AA181">
        <f t="shared" si="103"/>
        <v>1.05</v>
      </c>
      <c r="AB181">
        <f>IF(协调曲线图!$S$43="是，LCO绘图",IF((k0six/((POWER($A181,alfa06))-1)*(t0six/beta06))&gt;Lco瞬跳時間6,k0six/((POWER($A181,alfa06))-1)*(t0six/beta06),Lco瞬跳時間6)," ")</f>
        <v>0.69389420887997599</v>
      </c>
      <c r="AC181">
        <f t="shared" si="104"/>
        <v>5000</v>
      </c>
      <c r="AD181">
        <f t="shared" si="105"/>
        <v>300</v>
      </c>
    </row>
    <row r="182" spans="1:30">
      <c r="A182">
        <v>175</v>
      </c>
      <c r="B182">
        <f t="shared" si="90"/>
        <v>0.05</v>
      </c>
      <c r="C182">
        <f>IF(协调曲线图!$S$8="是，LCO绘图",IF((k0one/((POWER($A182,alfa01))-1)*(t0one/beta01))&gt;Lco瞬跳時間1,k0one/((POWER($A182,alfa01))-1)*(t0one/beta01),Lco瞬跳時間1)," ")</f>
        <v>0.21658871378087455</v>
      </c>
      <c r="D182">
        <f t="shared" si="106"/>
        <v>1050</v>
      </c>
      <c r="E182">
        <f t="shared" si="107"/>
        <v>150</v>
      </c>
      <c r="G182">
        <f t="shared" si="91"/>
        <v>0.25</v>
      </c>
      <c r="H182">
        <f>IF(协调曲线图!$S$15="是，LCO绘图",IF((k0two/((POWER($A182,alfa02))-1)*(t0two/beta02))&gt;Lco瞬跳時間2,k0two/((POWER($A182,alfa02))-1)*(t0two/beta02),Lco瞬跳時間2)," ")</f>
        <v>0.30322419929322436</v>
      </c>
      <c r="I182">
        <f t="shared" si="92"/>
        <v>1500</v>
      </c>
      <c r="J182">
        <f t="shared" si="93"/>
        <v>150</v>
      </c>
      <c r="L182">
        <f t="shared" si="94"/>
        <v>0.45</v>
      </c>
      <c r="M182">
        <f>IF(协调曲线图!$S$22="是，LCO绘图",IF((k0three/((POWER($A182,alfa03))-1)*(t0three/beta03))&gt;Lco瞬跳時間3,k0three/((POWER($A182,alfa03))-1)*(t0three/beta03),Lco瞬跳時間3)," ")</f>
        <v>0.3898596848055742</v>
      </c>
      <c r="N182">
        <f t="shared" si="95"/>
        <v>2000</v>
      </c>
      <c r="O182">
        <f t="shared" si="96"/>
        <v>150</v>
      </c>
      <c r="Q182">
        <f t="shared" si="97"/>
        <v>0.65</v>
      </c>
      <c r="R182">
        <f>IF(协调曲线图!$S$29="是，LCO绘图",IF((k0four/((POWER($A182,alfa04))-1)*(t0four/beta04))&gt;Lco瞬跳時間4,k0four/((POWER($A182,alfa04))-1)*(t0four/beta04),Lco瞬跳時間4)," ")</f>
        <v>0.47649517031792399</v>
      </c>
      <c r="S182">
        <f t="shared" si="98"/>
        <v>2500</v>
      </c>
      <c r="T182">
        <f t="shared" si="99"/>
        <v>150</v>
      </c>
      <c r="V182">
        <f t="shared" si="100"/>
        <v>0.85</v>
      </c>
      <c r="W182">
        <f>IF(协调曲线图!$S$36="是，LCO绘图",IF((k0five/((POWER($A182,alfa05))-1)*(t0five/beta05))&gt;Lco瞬跳時間5,k0five/((POWER($A182,alfa05))-1)*(t0five/beta05),Lco瞬跳時間5)," ")</f>
        <v>0.56313065583027389</v>
      </c>
      <c r="X182">
        <f t="shared" si="101"/>
        <v>3000</v>
      </c>
      <c r="Y182">
        <f t="shared" si="102"/>
        <v>150</v>
      </c>
      <c r="AA182">
        <f t="shared" si="103"/>
        <v>1.05</v>
      </c>
      <c r="AB182">
        <f>IF(协调曲线图!$S$43="是，LCO绘图",IF((k0six/((POWER($A182,alfa06))-1)*(t0six/beta06))&gt;Lco瞬跳時間6,k0six/((POWER($A182,alfa06))-1)*(t0six/beta06),Lco瞬跳時間6)," ")</f>
        <v>0.69308388409879862</v>
      </c>
      <c r="AC182">
        <f t="shared" si="104"/>
        <v>5000</v>
      </c>
      <c r="AD182">
        <f t="shared" si="105"/>
        <v>300</v>
      </c>
    </row>
    <row r="183" spans="1:30">
      <c r="A183">
        <v>176</v>
      </c>
      <c r="B183">
        <f t="shared" si="90"/>
        <v>0.05</v>
      </c>
      <c r="C183">
        <f>IF(协调曲线图!$S$8="是，LCO绘图",IF((k0one/((POWER($A183,alfa01))-1)*(t0one/beta01))&gt;Lco瞬跳時間1,k0one/((POWER($A183,alfa01))-1)*(t0one/beta01),Lco瞬跳時間1)," ")</f>
        <v>0.21633748721036372</v>
      </c>
      <c r="D183">
        <f t="shared" si="106"/>
        <v>1050</v>
      </c>
      <c r="E183">
        <f t="shared" si="107"/>
        <v>150</v>
      </c>
      <c r="G183">
        <f t="shared" si="91"/>
        <v>0.25</v>
      </c>
      <c r="H183">
        <f>IF(协调曲线图!$S$15="是，LCO绘图",IF((k0two/((POWER($A183,alfa02))-1)*(t0two/beta02))&gt;Lco瞬跳時間2,k0two/((POWER($A183,alfa02))-1)*(t0two/beta02),Lco瞬跳時間2)," ")</f>
        <v>0.30287248209450923</v>
      </c>
      <c r="I183">
        <f t="shared" si="92"/>
        <v>1500</v>
      </c>
      <c r="J183">
        <f t="shared" si="93"/>
        <v>150</v>
      </c>
      <c r="L183">
        <f t="shared" si="94"/>
        <v>0.45</v>
      </c>
      <c r="M183">
        <f>IF(协调曲线图!$S$22="是，LCO绘图",IF((k0three/((POWER($A183,alfa03))-1)*(t0three/beta03))&gt;Lco瞬跳時間3,k0three/((POWER($A183,alfa03))-1)*(t0three/beta03),Lco瞬跳時間3)," ")</f>
        <v>0.38940747697865474</v>
      </c>
      <c r="N183">
        <f t="shared" si="95"/>
        <v>2000</v>
      </c>
      <c r="O183">
        <f t="shared" si="96"/>
        <v>150</v>
      </c>
      <c r="Q183">
        <f t="shared" si="97"/>
        <v>0.65</v>
      </c>
      <c r="R183">
        <f>IF(协调曲线图!$S$29="是，LCO绘图",IF((k0four/((POWER($A183,alfa04))-1)*(t0four/beta04))&gt;Lco瞬跳時間4,k0four/((POWER($A183,alfa04))-1)*(t0four/beta04),Lco瞬跳時間4)," ")</f>
        <v>0.47594247186280025</v>
      </c>
      <c r="S183">
        <f t="shared" si="98"/>
        <v>2500</v>
      </c>
      <c r="T183">
        <f t="shared" si="99"/>
        <v>150</v>
      </c>
      <c r="V183">
        <f t="shared" si="100"/>
        <v>0.85</v>
      </c>
      <c r="W183">
        <f>IF(协调曲线图!$S$36="是，LCO绘图",IF((k0five/((POWER($A183,alfa05))-1)*(t0five/beta05))&gt;Lco瞬跳時間5,k0five/((POWER($A183,alfa05))-1)*(t0five/beta05),Lco瞬跳時間5)," ")</f>
        <v>0.56247746674694576</v>
      </c>
      <c r="X183">
        <f t="shared" si="101"/>
        <v>3000</v>
      </c>
      <c r="Y183">
        <f t="shared" si="102"/>
        <v>150</v>
      </c>
      <c r="AA183">
        <f t="shared" si="103"/>
        <v>1.05</v>
      </c>
      <c r="AB183">
        <f>IF(协调曲线图!$S$43="是，LCO绘图",IF((k0six/((POWER($A183,alfa06))-1)*(t0six/beta06))&gt;Lco瞬跳時間6,k0six/((POWER($A183,alfa06))-1)*(t0six/beta06),Lco瞬跳時間6)," ")</f>
        <v>0.69227995907316398</v>
      </c>
      <c r="AC183">
        <f t="shared" si="104"/>
        <v>5000</v>
      </c>
      <c r="AD183">
        <f t="shared" si="105"/>
        <v>300</v>
      </c>
    </row>
    <row r="184" spans="1:30">
      <c r="A184">
        <v>177</v>
      </c>
      <c r="B184">
        <f t="shared" si="90"/>
        <v>0.05</v>
      </c>
      <c r="C184">
        <f>IF(协调曲线图!$S$8="是，LCO绘图",IF((k0one/((POWER($A184,alfa01))-1)*(t0one/beta01))&gt;Lco瞬跳時間1,k0one/((POWER($A184,alfa01))-1)*(t0one/beta01),Lco瞬跳時間1)," ")</f>
        <v>0.21608823293539586</v>
      </c>
      <c r="D184">
        <f t="shared" si="106"/>
        <v>1050</v>
      </c>
      <c r="E184">
        <f t="shared" si="107"/>
        <v>150</v>
      </c>
      <c r="G184">
        <f t="shared" si="91"/>
        <v>0.25</v>
      </c>
      <c r="H184">
        <f>IF(协调曲线图!$S$15="是，LCO绘图",IF((k0two/((POWER($A184,alfa02))-1)*(t0two/beta02))&gt;Lco瞬跳時間2,k0two/((POWER($A184,alfa02))-1)*(t0two/beta02),Lco瞬跳時間2)," ")</f>
        <v>0.30252352610955419</v>
      </c>
      <c r="I184">
        <f t="shared" si="92"/>
        <v>1500</v>
      </c>
      <c r="J184">
        <f t="shared" si="93"/>
        <v>150</v>
      </c>
      <c r="L184">
        <f t="shared" si="94"/>
        <v>0.45</v>
      </c>
      <c r="M184">
        <f>IF(协调曲线图!$S$22="是，LCO绘图",IF((k0three/((POWER($A184,alfa03))-1)*(t0three/beta03))&gt;Lco瞬跳時間3,k0three/((POWER($A184,alfa03))-1)*(t0three/beta03),Lco瞬跳時間3)," ")</f>
        <v>0.38895881928371256</v>
      </c>
      <c r="N184">
        <f t="shared" si="95"/>
        <v>2000</v>
      </c>
      <c r="O184">
        <f t="shared" si="96"/>
        <v>150</v>
      </c>
      <c r="Q184">
        <f t="shared" si="97"/>
        <v>0.65</v>
      </c>
      <c r="R184">
        <f>IF(协调曲线图!$S$29="是，LCO绘图",IF((k0four/((POWER($A184,alfa04))-1)*(t0four/beta04))&gt;Lco瞬跳時間4,k0four/((POWER($A184,alfa04))-1)*(t0four/beta04),Lco瞬跳時間4)," ")</f>
        <v>0.47539411245787089</v>
      </c>
      <c r="S184">
        <f t="shared" si="98"/>
        <v>2500</v>
      </c>
      <c r="T184">
        <f t="shared" si="99"/>
        <v>150</v>
      </c>
      <c r="V184">
        <f t="shared" si="100"/>
        <v>0.85</v>
      </c>
      <c r="W184">
        <f>IF(协调曲线图!$S$36="是，LCO绘图",IF((k0five/((POWER($A184,alfa05))-1)*(t0five/beta05))&gt;Lco瞬跳時間5,k0five/((POWER($A184,alfa05))-1)*(t0five/beta05),Lco瞬跳時間5)," ")</f>
        <v>0.56182940563202932</v>
      </c>
      <c r="X184">
        <f t="shared" si="101"/>
        <v>3000</v>
      </c>
      <c r="Y184">
        <f t="shared" si="102"/>
        <v>150</v>
      </c>
      <c r="AA184">
        <f t="shared" si="103"/>
        <v>1.05</v>
      </c>
      <c r="AB184">
        <f>IF(协调曲线图!$S$43="是，LCO绘图",IF((k0six/((POWER($A184,alfa06))-1)*(t0six/beta06))&gt;Lco瞬跳時間6,k0six/((POWER($A184,alfa06))-1)*(t0six/beta06),Lco瞬跳時間6)," ")</f>
        <v>0.69148234539326681</v>
      </c>
      <c r="AC184">
        <f t="shared" si="104"/>
        <v>5000</v>
      </c>
      <c r="AD184">
        <f t="shared" si="105"/>
        <v>300</v>
      </c>
    </row>
    <row r="185" spans="1:30">
      <c r="A185">
        <v>178</v>
      </c>
      <c r="B185">
        <f t="shared" si="90"/>
        <v>0.05</v>
      </c>
      <c r="C185">
        <f>IF(协调曲线图!$S$8="是，LCO绘图",IF((k0one/((POWER($A185,alfa01))-1)*(t0one/beta01))&gt;Lco瞬跳時間1,k0one/((POWER($A185,alfa01))-1)*(t0one/beta01),Lco瞬跳時間1)," ")</f>
        <v>0.21584092386869191</v>
      </c>
      <c r="D185">
        <f t="shared" si="106"/>
        <v>1050</v>
      </c>
      <c r="E185">
        <f t="shared" si="107"/>
        <v>150</v>
      </c>
      <c r="G185">
        <f t="shared" si="91"/>
        <v>0.25</v>
      </c>
      <c r="H185">
        <f>IF(协调曲线图!$S$15="是，LCO绘图",IF((k0two/((POWER($A185,alfa02))-1)*(t0two/beta02))&gt;Lco瞬跳時間2,k0two/((POWER($A185,alfa02))-1)*(t0two/beta02),Lco瞬跳時間2)," ")</f>
        <v>0.30217729341616867</v>
      </c>
      <c r="I185">
        <f t="shared" si="92"/>
        <v>1500</v>
      </c>
      <c r="J185">
        <f t="shared" si="93"/>
        <v>150</v>
      </c>
      <c r="L185">
        <f t="shared" si="94"/>
        <v>0.45</v>
      </c>
      <c r="M185">
        <f>IF(协调曲线图!$S$22="是，LCO绘图",IF((k0three/((POWER($A185,alfa03))-1)*(t0three/beta03))&gt;Lco瞬跳時間3,k0three/((POWER($A185,alfa03))-1)*(t0three/beta03),Lco瞬跳時間3)," ")</f>
        <v>0.38851366296364548</v>
      </c>
      <c r="N185">
        <f t="shared" si="95"/>
        <v>2000</v>
      </c>
      <c r="O185">
        <f t="shared" si="96"/>
        <v>150</v>
      </c>
      <c r="Q185">
        <f t="shared" si="97"/>
        <v>0.65</v>
      </c>
      <c r="R185">
        <f>IF(协调曲线图!$S$29="是，LCO绘图",IF((k0four/((POWER($A185,alfa04))-1)*(t0four/beta04))&gt;Lco瞬跳時間4,k0four/((POWER($A185,alfa04))-1)*(t0four/beta04),Lco瞬跳時間4)," ")</f>
        <v>0.47485003251112223</v>
      </c>
      <c r="S185">
        <f t="shared" si="98"/>
        <v>2500</v>
      </c>
      <c r="T185">
        <f t="shared" si="99"/>
        <v>150</v>
      </c>
      <c r="V185">
        <f t="shared" si="100"/>
        <v>0.85</v>
      </c>
      <c r="W185">
        <f>IF(协调曲线图!$S$36="是，LCO绘图",IF((k0five/((POWER($A185,alfa05))-1)*(t0five/beta05))&gt;Lco瞬跳時間5,k0five/((POWER($A185,alfa05))-1)*(t0five/beta05),Lco瞬跳時間5)," ")</f>
        <v>0.56118640205859904</v>
      </c>
      <c r="X185">
        <f t="shared" si="101"/>
        <v>3000</v>
      </c>
      <c r="Y185">
        <f t="shared" si="102"/>
        <v>150</v>
      </c>
      <c r="AA185">
        <f t="shared" si="103"/>
        <v>1.05</v>
      </c>
      <c r="AB185">
        <f>IF(协调曲线图!$S$43="是，LCO绘图",IF((k0six/((POWER($A185,alfa06))-1)*(t0six/beta06))&gt;Lco瞬跳時間6,k0six/((POWER($A185,alfa06))-1)*(t0six/beta06),Lco瞬跳時間6)," ")</f>
        <v>0.69069095637981415</v>
      </c>
      <c r="AC185">
        <f t="shared" si="104"/>
        <v>5000</v>
      </c>
      <c r="AD185">
        <f t="shared" si="105"/>
        <v>300</v>
      </c>
    </row>
    <row r="186" spans="1:30">
      <c r="A186">
        <v>179</v>
      </c>
      <c r="B186">
        <f t="shared" si="90"/>
        <v>0.05</v>
      </c>
      <c r="C186">
        <f>IF(协调曲线图!$S$8="是，LCO绘图",IF((k0one/((POWER($A186,alfa01))-1)*(t0one/beta01))&gt;Lco瞬跳時間1,k0one/((POWER($A186,alfa01))-1)*(t0one/beta01),Lco瞬跳時間1)," ")</f>
        <v>0.21559553345011942</v>
      </c>
      <c r="D186">
        <f t="shared" si="106"/>
        <v>1050</v>
      </c>
      <c r="E186">
        <f t="shared" si="107"/>
        <v>150</v>
      </c>
      <c r="G186">
        <f t="shared" si="91"/>
        <v>0.25</v>
      </c>
      <c r="H186">
        <f>IF(协调曲线图!$S$15="是，LCO绘图",IF((k0two/((POWER($A186,alfa02))-1)*(t0two/beta02))&gt;Lco瞬跳時間2,k0two/((POWER($A186,alfa02))-1)*(t0two/beta02),Lco瞬跳時間2)," ")</f>
        <v>0.30183374683016717</v>
      </c>
      <c r="I186">
        <f t="shared" si="92"/>
        <v>1500</v>
      </c>
      <c r="J186">
        <f t="shared" si="93"/>
        <v>150</v>
      </c>
      <c r="L186">
        <f t="shared" si="94"/>
        <v>0.45</v>
      </c>
      <c r="M186">
        <f>IF(协调曲线图!$S$22="是，LCO绘图",IF((k0three/((POWER($A186,alfa03))-1)*(t0three/beta03))&gt;Lco瞬跳時間3,k0three/((POWER($A186,alfa03))-1)*(t0three/beta03),Lco瞬跳時間3)," ")</f>
        <v>0.38807196021021501</v>
      </c>
      <c r="N186">
        <f t="shared" si="95"/>
        <v>2000</v>
      </c>
      <c r="O186">
        <f t="shared" si="96"/>
        <v>150</v>
      </c>
      <c r="Q186">
        <f t="shared" si="97"/>
        <v>0.65</v>
      </c>
      <c r="R186">
        <f>IF(协调曲线图!$S$29="是，LCO绘图",IF((k0four/((POWER($A186,alfa04))-1)*(t0four/beta04))&gt;Lco瞬跳時間4,k0four/((POWER($A186,alfa04))-1)*(t0four/beta04),Lco瞬跳時間4)," ")</f>
        <v>0.47431017359026273</v>
      </c>
      <c r="S186">
        <f t="shared" si="98"/>
        <v>2500</v>
      </c>
      <c r="T186">
        <f t="shared" si="99"/>
        <v>150</v>
      </c>
      <c r="V186">
        <f t="shared" si="100"/>
        <v>0.85</v>
      </c>
      <c r="W186">
        <f>IF(协调曲线图!$S$36="是，LCO绘图",IF((k0five/((POWER($A186,alfa05))-1)*(t0five/beta05))&gt;Lco瞬跳時間5,k0five/((POWER($A186,alfa05))-1)*(t0five/beta05),Lco瞬跳時間5)," ")</f>
        <v>0.56054838697031051</v>
      </c>
      <c r="X186">
        <f t="shared" si="101"/>
        <v>3000</v>
      </c>
      <c r="Y186">
        <f t="shared" si="102"/>
        <v>150</v>
      </c>
      <c r="AA186">
        <f t="shared" si="103"/>
        <v>1.05</v>
      </c>
      <c r="AB186">
        <f>IF(协调曲线图!$S$43="是，LCO绘图",IF((k0six/((POWER($A186,alfa06))-1)*(t0six/beta06))&gt;Lco瞬跳時間6,k0six/((POWER($A186,alfa06))-1)*(t0six/beta06),Lco瞬跳時間6)," ")</f>
        <v>0.68990570704038212</v>
      </c>
      <c r="AC186">
        <f t="shared" si="104"/>
        <v>5000</v>
      </c>
      <c r="AD186">
        <f t="shared" si="105"/>
        <v>300</v>
      </c>
    </row>
    <row r="187" spans="1:30">
      <c r="A187">
        <v>180</v>
      </c>
      <c r="B187">
        <f t="shared" si="90"/>
        <v>0.05</v>
      </c>
      <c r="C187">
        <f>IF(协调曲线图!$S$8="是，LCO绘图",IF((k0one/((POWER($A187,alfa01))-1)*(t0one/beta01))&gt;Lco瞬跳時間1,k0one/((POWER($A187,alfa01))-1)*(t0one/beta01),Lco瞬跳時間1)," ")</f>
        <v>0.21535203563346692</v>
      </c>
      <c r="D187">
        <f t="shared" si="106"/>
        <v>1050</v>
      </c>
      <c r="E187">
        <f t="shared" si="107"/>
        <v>150</v>
      </c>
      <c r="G187">
        <f t="shared" si="91"/>
        <v>0.25</v>
      </c>
      <c r="H187">
        <f>IF(协调曲线图!$S$15="是，LCO绘图",IF((k0two/((POWER($A187,alfa02))-1)*(t0two/beta02))&gt;Lco瞬跳時間2,k0two/((POWER($A187,alfa02))-1)*(t0two/beta02),Lco瞬跳時間2)," ")</f>
        <v>0.30149284988685365</v>
      </c>
      <c r="I187">
        <f t="shared" si="92"/>
        <v>1500</v>
      </c>
      <c r="J187">
        <f t="shared" si="93"/>
        <v>150</v>
      </c>
      <c r="L187">
        <f t="shared" si="94"/>
        <v>0.45</v>
      </c>
      <c r="M187">
        <f>IF(协调曲线图!$S$22="是，LCO绘图",IF((k0three/((POWER($A187,alfa03))-1)*(t0three/beta03))&gt;Lco瞬跳時間3,k0three/((POWER($A187,alfa03))-1)*(t0three/beta03),Lco瞬跳時間3)," ")</f>
        <v>0.38763366414024047</v>
      </c>
      <c r="N187">
        <f t="shared" si="95"/>
        <v>2000</v>
      </c>
      <c r="O187">
        <f t="shared" si="96"/>
        <v>150</v>
      </c>
      <c r="Q187">
        <f t="shared" si="97"/>
        <v>0.65</v>
      </c>
      <c r="R187">
        <f>IF(协调曲线图!$S$29="是，LCO绘图",IF((k0four/((POWER($A187,alfa04))-1)*(t0four/beta04))&gt;Lco瞬跳時間4,k0four/((POWER($A187,alfa04))-1)*(t0four/beta04),Lco瞬跳時間4)," ")</f>
        <v>0.47377447839362719</v>
      </c>
      <c r="S187">
        <f t="shared" si="98"/>
        <v>2500</v>
      </c>
      <c r="T187">
        <f t="shared" si="99"/>
        <v>150</v>
      </c>
      <c r="V187">
        <f t="shared" si="100"/>
        <v>0.85</v>
      </c>
      <c r="W187">
        <f>IF(协调曲线图!$S$36="是，LCO绘图",IF((k0five/((POWER($A187,alfa05))-1)*(t0five/beta05))&gt;Lco瞬跳時間5,k0five/((POWER($A187,alfa05))-1)*(t0five/beta05),Lco瞬跳時間5)," ")</f>
        <v>0.55991529264701401</v>
      </c>
      <c r="X187">
        <f t="shared" si="101"/>
        <v>3000</v>
      </c>
      <c r="Y187">
        <f t="shared" si="102"/>
        <v>150</v>
      </c>
      <c r="AA187">
        <f t="shared" si="103"/>
        <v>1.05</v>
      </c>
      <c r="AB187">
        <f>IF(协调曲线图!$S$43="是，LCO绘图",IF((k0six/((POWER($A187,alfa06))-1)*(t0six/beta06))&gt;Lco瞬跳時間6,k0six/((POWER($A187,alfa06))-1)*(t0six/beta06),Lco瞬跳時間6)," ")</f>
        <v>0.68912651402709413</v>
      </c>
      <c r="AC187">
        <f t="shared" si="104"/>
        <v>5000</v>
      </c>
      <c r="AD187">
        <f t="shared" si="105"/>
        <v>300</v>
      </c>
    </row>
    <row r="188" spans="1:30">
      <c r="A188">
        <v>181</v>
      </c>
      <c r="B188">
        <f t="shared" si="90"/>
        <v>0.05</v>
      </c>
      <c r="C188">
        <f>IF(协调曲线图!$S$8="是，LCO绘图",IF((k0one/((POWER($A188,alfa01))-1)*(t0one/beta01))&gt;Lco瞬跳時間1,k0one/((POWER($A188,alfa01))-1)*(t0one/beta01),Lco瞬跳時間1)," ")</f>
        <v>0.21511040487362787</v>
      </c>
      <c r="D188">
        <f t="shared" si="106"/>
        <v>1050</v>
      </c>
      <c r="E188">
        <f t="shared" si="107"/>
        <v>150</v>
      </c>
      <c r="G188">
        <f t="shared" si="91"/>
        <v>0.25</v>
      </c>
      <c r="H188">
        <f>IF(协调曲线图!$S$15="是，LCO绘图",IF((k0two/((POWER($A188,alfa02))-1)*(t0two/beta02))&gt;Lco瞬跳時間2,k0two/((POWER($A188,alfa02))-1)*(t0two/beta02),Lco瞬跳時間2)," ")</f>
        <v>0.30115456682307901</v>
      </c>
      <c r="I188">
        <f t="shared" si="92"/>
        <v>1500</v>
      </c>
      <c r="J188">
        <f t="shared" si="93"/>
        <v>150</v>
      </c>
      <c r="L188">
        <f t="shared" si="94"/>
        <v>0.45</v>
      </c>
      <c r="M188">
        <f>IF(协调曲线图!$S$22="是，LCO绘图",IF((k0three/((POWER($A188,alfa03))-1)*(t0three/beta03))&gt;Lco瞬跳時間3,k0three/((POWER($A188,alfa03))-1)*(t0three/beta03),Lco瞬跳時間3)," ")</f>
        <v>0.3871987287725302</v>
      </c>
      <c r="N188">
        <f t="shared" si="95"/>
        <v>2000</v>
      </c>
      <c r="O188">
        <f t="shared" si="96"/>
        <v>150</v>
      </c>
      <c r="Q188">
        <f t="shared" si="97"/>
        <v>0.65</v>
      </c>
      <c r="R188">
        <f>IF(协调曲线图!$S$29="是，LCO绘图",IF((k0four/((POWER($A188,alfa04))-1)*(t0four/beta04))&gt;Lco瞬跳時間4,k0four/((POWER($A188,alfa04))-1)*(t0four/beta04),Lco瞬跳時間4)," ")</f>
        <v>0.47324289072198128</v>
      </c>
      <c r="S188">
        <f t="shared" si="98"/>
        <v>2500</v>
      </c>
      <c r="T188">
        <f t="shared" si="99"/>
        <v>150</v>
      </c>
      <c r="V188">
        <f t="shared" si="100"/>
        <v>0.85</v>
      </c>
      <c r="W188">
        <f>IF(协调曲线图!$S$36="是，LCO绘图",IF((k0five/((POWER($A188,alfa05))-1)*(t0five/beta05))&gt;Lco瞬跳時間5,k0five/((POWER($A188,alfa05))-1)*(t0five/beta05),Lco瞬跳時間5)," ")</f>
        <v>0.55928705267143253</v>
      </c>
      <c r="X188">
        <f t="shared" si="101"/>
        <v>3000</v>
      </c>
      <c r="Y188">
        <f t="shared" si="102"/>
        <v>150</v>
      </c>
      <c r="AA188">
        <f t="shared" si="103"/>
        <v>1.05</v>
      </c>
      <c r="AB188">
        <f>IF(协调曲线图!$S$43="是，LCO绘图",IF((k0six/((POWER($A188,alfa06))-1)*(t0six/beta06))&gt;Lco瞬跳時間6,k0six/((POWER($A188,alfa06))-1)*(t0six/beta06),Lco瞬跳時間6)," ")</f>
        <v>0.6883532955956092</v>
      </c>
      <c r="AC188">
        <f t="shared" si="104"/>
        <v>5000</v>
      </c>
      <c r="AD188">
        <f t="shared" si="105"/>
        <v>300</v>
      </c>
    </row>
    <row r="189" spans="1:30">
      <c r="A189">
        <v>182</v>
      </c>
      <c r="B189">
        <f t="shared" si="90"/>
        <v>0.05</v>
      </c>
      <c r="C189">
        <f>IF(协调曲线图!$S$8="是，LCO绘图",IF((k0one/((POWER($A189,alfa01))-1)*(t0one/beta01))&gt;Lco瞬跳時間1,k0one/((POWER($A189,alfa01))-1)*(t0one/beta01),Lco瞬跳時間1)," ")</f>
        <v>0.21487061611417366</v>
      </c>
      <c r="D189">
        <f t="shared" si="106"/>
        <v>1050</v>
      </c>
      <c r="E189">
        <f t="shared" si="107"/>
        <v>150</v>
      </c>
      <c r="G189">
        <f t="shared" si="91"/>
        <v>0.25</v>
      </c>
      <c r="H189">
        <f>IF(协调曲线图!$S$15="是，LCO绘图",IF((k0two/((POWER($A189,alfa02))-1)*(t0two/beta02))&gt;Lco瞬跳時間2,k0two/((POWER($A189,alfa02))-1)*(t0two/beta02),Lco瞬跳時間2)," ")</f>
        <v>0.30081886255984314</v>
      </c>
      <c r="I189">
        <f t="shared" si="92"/>
        <v>1500</v>
      </c>
      <c r="J189">
        <f t="shared" si="93"/>
        <v>150</v>
      </c>
      <c r="L189">
        <f t="shared" si="94"/>
        <v>0.45</v>
      </c>
      <c r="M189">
        <f>IF(协调曲线图!$S$22="是，LCO绘图",IF((k0three/((POWER($A189,alfa03))-1)*(t0three/beta03))&gt;Lco瞬跳時間3,k0three/((POWER($A189,alfa03))-1)*(t0three/beta03),Lco瞬跳時間3)," ")</f>
        <v>0.38676710900551264</v>
      </c>
      <c r="N189">
        <f t="shared" si="95"/>
        <v>2000</v>
      </c>
      <c r="O189">
        <f t="shared" si="96"/>
        <v>150</v>
      </c>
      <c r="Q189">
        <f t="shared" si="97"/>
        <v>0.65</v>
      </c>
      <c r="R189">
        <f>IF(协调曲线图!$S$29="是，LCO绘图",IF((k0four/((POWER($A189,alfa04))-1)*(t0four/beta04))&gt;Lco瞬跳時間4,k0four/((POWER($A189,alfa04))-1)*(t0four/beta04),Lco瞬跳時間4)," ")</f>
        <v>0.47271535545118204</v>
      </c>
      <c r="S189">
        <f t="shared" si="98"/>
        <v>2500</v>
      </c>
      <c r="T189">
        <f t="shared" si="99"/>
        <v>150</v>
      </c>
      <c r="V189">
        <f t="shared" si="100"/>
        <v>0.85</v>
      </c>
      <c r="W189">
        <f>IF(协调曲线图!$S$36="是，LCO绘图",IF((k0five/((POWER($A189,alfa05))-1)*(t0five/beta05))&gt;Lco瞬跳時間5,k0five/((POWER($A189,alfa05))-1)*(t0five/beta05),Lco瞬跳時間5)," ")</f>
        <v>0.5586636018968516</v>
      </c>
      <c r="X189">
        <f t="shared" si="101"/>
        <v>3000</v>
      </c>
      <c r="Y189">
        <f t="shared" si="102"/>
        <v>150</v>
      </c>
      <c r="AA189">
        <f t="shared" si="103"/>
        <v>1.05</v>
      </c>
      <c r="AB189">
        <f>IF(协调曲线图!$S$43="是，LCO绘图",IF((k0six/((POWER($A189,alfa06))-1)*(t0six/beta06))&gt;Lco瞬跳時間6,k0six/((POWER($A189,alfa06))-1)*(t0six/beta06),Lco瞬跳時間6)," ")</f>
        <v>0.68758597156535572</v>
      </c>
      <c r="AC189">
        <f t="shared" si="104"/>
        <v>5000</v>
      </c>
      <c r="AD189">
        <f t="shared" si="105"/>
        <v>300</v>
      </c>
    </row>
    <row r="190" spans="1:30">
      <c r="A190">
        <v>183</v>
      </c>
      <c r="B190">
        <f t="shared" si="90"/>
        <v>0.05</v>
      </c>
      <c r="C190">
        <f>IF(协调曲线图!$S$8="是，LCO绘图",IF((k0one/((POWER($A190,alfa01))-1)*(t0one/beta01))&gt;Lco瞬跳時間1,k0one/((POWER($A190,alfa01))-1)*(t0one/beta01),Lco瞬跳時間1)," ")</f>
        <v>0.21463264477530292</v>
      </c>
      <c r="D190">
        <f t="shared" si="106"/>
        <v>1050</v>
      </c>
      <c r="E190">
        <f t="shared" si="107"/>
        <v>150</v>
      </c>
      <c r="G190">
        <f t="shared" si="91"/>
        <v>0.25</v>
      </c>
      <c r="H190">
        <f>IF(协调曲线图!$S$15="是，LCO绘图",IF((k0two/((POWER($A190,alfa02))-1)*(t0two/beta02))&gt;Lco瞬跳時間2,k0two/((POWER($A190,alfa02))-1)*(t0two/beta02),Lco瞬跳時間2)," ")</f>
        <v>0.30048570268542407</v>
      </c>
      <c r="I190">
        <f t="shared" si="92"/>
        <v>1500</v>
      </c>
      <c r="J190">
        <f t="shared" si="93"/>
        <v>150</v>
      </c>
      <c r="L190">
        <f t="shared" si="94"/>
        <v>0.45</v>
      </c>
      <c r="M190">
        <f>IF(协调曲线图!$S$22="是，LCO绘图",IF((k0three/((POWER($A190,alfa03))-1)*(t0three/beta03))&gt;Lco瞬跳時間3,k0three/((POWER($A190,alfa03))-1)*(t0three/beta03),Lco瞬跳時間3)," ")</f>
        <v>0.38633876059554528</v>
      </c>
      <c r="N190">
        <f t="shared" si="95"/>
        <v>2000</v>
      </c>
      <c r="O190">
        <f t="shared" si="96"/>
        <v>150</v>
      </c>
      <c r="Q190">
        <f t="shared" si="97"/>
        <v>0.65</v>
      </c>
      <c r="R190">
        <f>IF(协调曲线图!$S$29="是，LCO绘图",IF((k0four/((POWER($A190,alfa04))-1)*(t0four/beta04))&gt;Lco瞬跳時間4,k0four/((POWER($A190,alfa04))-1)*(t0four/beta04),Lco瞬跳時間4)," ")</f>
        <v>0.47219181850566644</v>
      </c>
      <c r="S190">
        <f t="shared" si="98"/>
        <v>2500</v>
      </c>
      <c r="T190">
        <f t="shared" si="99"/>
        <v>150</v>
      </c>
      <c r="V190">
        <f t="shared" si="100"/>
        <v>0.85</v>
      </c>
      <c r="W190">
        <f>IF(协调曲线图!$S$36="是，LCO绘图",IF((k0five/((POWER($A190,alfa05))-1)*(t0five/beta05))&gt;Lco瞬跳時間5,k0five/((POWER($A190,alfa05))-1)*(t0five/beta05),Lco瞬跳時間5)," ")</f>
        <v>0.55804487641578759</v>
      </c>
      <c r="X190">
        <f t="shared" si="101"/>
        <v>3000</v>
      </c>
      <c r="Y190">
        <f t="shared" si="102"/>
        <v>150</v>
      </c>
      <c r="AA190">
        <f t="shared" si="103"/>
        <v>1.05</v>
      </c>
      <c r="AB190">
        <f>IF(协调曲线图!$S$43="是，LCO绘图",IF((k0six/((POWER($A190,alfa06))-1)*(t0six/beta06))&gt;Lco瞬跳時間6,k0six/((POWER($A190,alfa06))-1)*(t0six/beta06),Lco瞬跳時間6)," ")</f>
        <v>0.68682446328096936</v>
      </c>
      <c r="AC190">
        <f t="shared" si="104"/>
        <v>5000</v>
      </c>
      <c r="AD190">
        <f t="shared" si="105"/>
        <v>300</v>
      </c>
    </row>
    <row r="191" spans="1:30">
      <c r="A191">
        <v>184</v>
      </c>
      <c r="B191">
        <f t="shared" si="90"/>
        <v>0.05</v>
      </c>
      <c r="C191">
        <f>IF(协调曲线图!$S$8="是，LCO绘图",IF((k0one/((POWER($A191,alfa01))-1)*(t0one/beta01))&gt;Lco瞬跳時間1,k0one/((POWER($A191,alfa01))-1)*(t0one/beta01),Lco瞬跳時間1)," ")</f>
        <v>0.21439646674215102</v>
      </c>
      <c r="D191">
        <f t="shared" si="106"/>
        <v>1050</v>
      </c>
      <c r="E191">
        <f t="shared" si="107"/>
        <v>150</v>
      </c>
      <c r="G191">
        <f t="shared" si="91"/>
        <v>0.25</v>
      </c>
      <c r="H191">
        <f>IF(协调曲线图!$S$15="是，LCO绘图",IF((k0two/((POWER($A191,alfa02))-1)*(t0two/beta02))&gt;Lco瞬跳時間2,k0two/((POWER($A191,alfa02))-1)*(t0two/beta02),Lco瞬跳時間2)," ")</f>
        <v>0.30015505343901144</v>
      </c>
      <c r="I191">
        <f t="shared" si="92"/>
        <v>1500</v>
      </c>
      <c r="J191">
        <f t="shared" si="93"/>
        <v>150</v>
      </c>
      <c r="L191">
        <f t="shared" si="94"/>
        <v>0.45</v>
      </c>
      <c r="M191">
        <f>IF(协调曲线图!$S$22="是，LCO绘图",IF((k0three/((POWER($A191,alfa03))-1)*(t0three/beta03))&gt;Lco瞬跳時間3,k0three/((POWER($A191,alfa03))-1)*(t0three/beta03),Lco瞬跳時間3)," ")</f>
        <v>0.38591364013587187</v>
      </c>
      <c r="N191">
        <f t="shared" si="95"/>
        <v>2000</v>
      </c>
      <c r="O191">
        <f t="shared" si="96"/>
        <v>150</v>
      </c>
      <c r="Q191">
        <f t="shared" si="97"/>
        <v>0.65</v>
      </c>
      <c r="R191">
        <f>IF(协调曲线图!$S$29="是，LCO绘图",IF((k0four/((POWER($A191,alfa04))-1)*(t0four/beta04))&gt;Lco瞬跳時間4,k0four/((POWER($A191,alfa04))-1)*(t0four/beta04),Lco瞬跳時間4)," ")</f>
        <v>0.47167222683273224</v>
      </c>
      <c r="S191">
        <f t="shared" si="98"/>
        <v>2500</v>
      </c>
      <c r="T191">
        <f t="shared" si="99"/>
        <v>150</v>
      </c>
      <c r="V191">
        <f t="shared" si="100"/>
        <v>0.85</v>
      </c>
      <c r="W191">
        <f>IF(协调曲线图!$S$36="是，LCO绘图",IF((k0five/((POWER($A191,alfa05))-1)*(t0five/beta05))&gt;Lco瞬跳時間5,k0five/((POWER($A191,alfa05))-1)*(t0five/beta05),Lco瞬跳時間5)," ")</f>
        <v>0.55743081352959267</v>
      </c>
      <c r="X191">
        <f t="shared" si="101"/>
        <v>3000</v>
      </c>
      <c r="Y191">
        <f t="shared" si="102"/>
        <v>150</v>
      </c>
      <c r="AA191">
        <f t="shared" si="103"/>
        <v>1.05</v>
      </c>
      <c r="AB191">
        <f>IF(协调曲线图!$S$43="是，LCO绘图",IF((k0six/((POWER($A191,alfa06))-1)*(t0six/beta06))&gt;Lco瞬跳時間6,k0six/((POWER($A191,alfa06))-1)*(t0six/beta06),Lco瞬跳時間6)," ")</f>
        <v>0.68606869357488331</v>
      </c>
      <c r="AC191">
        <f t="shared" si="104"/>
        <v>5000</v>
      </c>
      <c r="AD191">
        <f t="shared" si="105"/>
        <v>300</v>
      </c>
    </row>
    <row r="192" spans="1:30">
      <c r="A192">
        <v>185</v>
      </c>
      <c r="B192">
        <f t="shared" si="90"/>
        <v>0.05</v>
      </c>
      <c r="C192">
        <f>IF(协调曲线图!$S$8="是，LCO绘图",IF((k0one/((POWER($A192,alfa01))-1)*(t0one/beta01))&gt;Lco瞬跳時間1,k0one/((POWER($A192,alfa01))-1)*(t0one/beta01),Lco瞬跳時間1)," ")</f>
        <v>0.21416205835345584</v>
      </c>
      <c r="D192">
        <f t="shared" si="106"/>
        <v>1050</v>
      </c>
      <c r="E192">
        <f t="shared" si="107"/>
        <v>150</v>
      </c>
      <c r="G192">
        <f t="shared" si="91"/>
        <v>0.25</v>
      </c>
      <c r="H192">
        <f>IF(协调曲线图!$S$15="是，LCO绘图",IF((k0two/((POWER($A192,alfa02))-1)*(t0two/beta02))&gt;Lco瞬跳時間2,k0two/((POWER($A192,alfa02))-1)*(t0two/beta02),Lco瞬跳時間2)," ")</f>
        <v>0.29982688169483818</v>
      </c>
      <c r="I192">
        <f t="shared" si="92"/>
        <v>1500</v>
      </c>
      <c r="J192">
        <f t="shared" si="93"/>
        <v>150</v>
      </c>
      <c r="L192">
        <f t="shared" si="94"/>
        <v>0.45</v>
      </c>
      <c r="M192">
        <f>IF(协调曲线图!$S$22="是，LCO绘图",IF((k0three/((POWER($A192,alfa03))-1)*(t0three/beta03))&gt;Lco瞬跳時間3,k0three/((POWER($A192,alfa03))-1)*(t0three/beta03),Lco瞬跳時間3)," ")</f>
        <v>0.38549170503622054</v>
      </c>
      <c r="N192">
        <f t="shared" si="95"/>
        <v>2000</v>
      </c>
      <c r="O192">
        <f t="shared" si="96"/>
        <v>150</v>
      </c>
      <c r="Q192">
        <f t="shared" si="97"/>
        <v>0.65</v>
      </c>
      <c r="R192">
        <f>IF(协调曲线图!$S$29="是，LCO绘图",IF((k0four/((POWER($A192,alfa04))-1)*(t0four/beta04))&gt;Lco瞬跳時間4,k0four/((POWER($A192,alfa04))-1)*(t0four/beta04),Lco瞬跳時間4)," ")</f>
        <v>0.47115652837760286</v>
      </c>
      <c r="S192">
        <f t="shared" si="98"/>
        <v>2500</v>
      </c>
      <c r="T192">
        <f t="shared" si="99"/>
        <v>150</v>
      </c>
      <c r="V192">
        <f t="shared" si="100"/>
        <v>0.85</v>
      </c>
      <c r="W192">
        <f>IF(协调曲线图!$S$36="是，LCO绘图",IF((k0five/((POWER($A192,alfa05))-1)*(t0five/beta05))&gt;Lco瞬跳時間5,k0five/((POWER($A192,alfa05))-1)*(t0five/beta05),Lco瞬跳時間5)," ")</f>
        <v>0.55682135171898528</v>
      </c>
      <c r="X192">
        <f t="shared" si="101"/>
        <v>3000</v>
      </c>
      <c r="Y192">
        <f t="shared" si="102"/>
        <v>150</v>
      </c>
      <c r="AA192">
        <f t="shared" si="103"/>
        <v>1.05</v>
      </c>
      <c r="AB192">
        <f>IF(协调曲线图!$S$43="是，LCO绘图",IF((k0six/((POWER($A192,alfa06))-1)*(t0six/beta06))&gt;Lco瞬跳時間6,k0six/((POWER($A192,alfa06))-1)*(t0six/beta06),Lco瞬跳時間6)," ")</f>
        <v>0.68531858673105872</v>
      </c>
      <c r="AC192">
        <f t="shared" si="104"/>
        <v>5000</v>
      </c>
      <c r="AD192">
        <f t="shared" si="105"/>
        <v>300</v>
      </c>
    </row>
    <row r="193" spans="1:30">
      <c r="A193">
        <v>186</v>
      </c>
      <c r="B193">
        <f t="shared" si="90"/>
        <v>0.05</v>
      </c>
      <c r="C193">
        <f>IF(协调曲线图!$S$8="是，LCO绘图",IF((k0one/((POWER($A193,alfa01))-1)*(t0one/beta01))&gt;Lco瞬跳時間1,k0one/((POWER($A193,alfa01))-1)*(t0one/beta01),Lco瞬跳時間1)," ")</f>
        <v>0.21392939639055264</v>
      </c>
      <c r="D193">
        <f t="shared" si="106"/>
        <v>1050</v>
      </c>
      <c r="E193">
        <f t="shared" si="107"/>
        <v>150</v>
      </c>
      <c r="G193">
        <f t="shared" si="91"/>
        <v>0.25</v>
      </c>
      <c r="H193">
        <f>IF(协调曲线图!$S$15="是，LCO绘图",IF((k0two/((POWER($A193,alfa02))-1)*(t0two/beta02))&gt;Lco瞬跳時間2,k0two/((POWER($A193,alfa02))-1)*(t0two/beta02),Lco瞬跳時間2)," ")</f>
        <v>0.29950115494677371</v>
      </c>
      <c r="I193">
        <f t="shared" si="92"/>
        <v>1500</v>
      </c>
      <c r="J193">
        <f t="shared" si="93"/>
        <v>150</v>
      </c>
      <c r="L193">
        <f t="shared" si="94"/>
        <v>0.45</v>
      </c>
      <c r="M193">
        <f>IF(协调曲线图!$S$22="是，LCO绘图",IF((k0three/((POWER($A193,alfa03))-1)*(t0three/beta03))&gt;Lco瞬跳時間3,k0three/((POWER($A193,alfa03))-1)*(t0three/beta03),Lco瞬跳時間3)," ")</f>
        <v>0.38507291350299477</v>
      </c>
      <c r="N193">
        <f t="shared" si="95"/>
        <v>2000</v>
      </c>
      <c r="O193">
        <f t="shared" si="96"/>
        <v>150</v>
      </c>
      <c r="Q193">
        <f t="shared" si="97"/>
        <v>0.65</v>
      </c>
      <c r="R193">
        <f>IF(协调曲线图!$S$29="是，LCO绘图",IF((k0four/((POWER($A193,alfa04))-1)*(t0four/beta04))&gt;Lco瞬跳時間4,k0four/((POWER($A193,alfa04))-1)*(t0four/beta04),Lco瞬跳時間4)," ")</f>
        <v>0.47064467205921579</v>
      </c>
      <c r="S193">
        <f t="shared" si="98"/>
        <v>2500</v>
      </c>
      <c r="T193">
        <f t="shared" si="99"/>
        <v>150</v>
      </c>
      <c r="V193">
        <f t="shared" si="100"/>
        <v>0.85</v>
      </c>
      <c r="W193">
        <f>IF(协调曲线图!$S$36="是，LCO绘图",IF((k0five/((POWER($A193,alfa05))-1)*(t0five/beta05))&gt;Lco瞬跳時間5,k0five/((POWER($A193,alfa05))-1)*(t0five/beta05),Lco瞬跳時間5)," ")</f>
        <v>0.55621643061543691</v>
      </c>
      <c r="X193">
        <f t="shared" si="101"/>
        <v>3000</v>
      </c>
      <c r="Y193">
        <f t="shared" si="102"/>
        <v>150</v>
      </c>
      <c r="AA193">
        <f t="shared" si="103"/>
        <v>1.05</v>
      </c>
      <c r="AB193">
        <f>IF(协调曲线图!$S$43="是，LCO绘图",IF((k0six/((POWER($A193,alfa06))-1)*(t0six/beta06))&gt;Lco瞬跳時間6,k0six/((POWER($A193,alfa06))-1)*(t0six/beta06),Lco瞬跳時間6)," ")</f>
        <v>0.68457406844976842</v>
      </c>
      <c r="AC193">
        <f t="shared" si="104"/>
        <v>5000</v>
      </c>
      <c r="AD193">
        <f t="shared" si="105"/>
        <v>300</v>
      </c>
    </row>
    <row r="194" spans="1:30">
      <c r="A194">
        <v>187</v>
      </c>
      <c r="B194">
        <f t="shared" si="90"/>
        <v>0.05</v>
      </c>
      <c r="C194">
        <f>IF(协调曲线图!$S$8="是，LCO绘图",IF((k0one/((POWER($A194,alfa01))-1)*(t0one/beta01))&gt;Lco瞬跳時間1,k0one/((POWER($A194,alfa01))-1)*(t0one/beta01),Lco瞬跳時間1)," ")</f>
        <v>0.2136984580667029</v>
      </c>
      <c r="D194">
        <f t="shared" si="106"/>
        <v>1050</v>
      </c>
      <c r="E194">
        <f t="shared" si="107"/>
        <v>150</v>
      </c>
      <c r="G194">
        <f t="shared" si="91"/>
        <v>0.25</v>
      </c>
      <c r="H194">
        <f>IF(协调曲线图!$S$15="是，LCO绘图",IF((k0two/((POWER($A194,alfa02))-1)*(t0two/beta02))&gt;Lco瞬跳時間2,k0two/((POWER($A194,alfa02))-1)*(t0two/beta02),Lco瞬跳時間2)," ")</f>
        <v>0.29917784129338409</v>
      </c>
      <c r="I194">
        <f t="shared" si="92"/>
        <v>1500</v>
      </c>
      <c r="J194">
        <f t="shared" si="93"/>
        <v>150</v>
      </c>
      <c r="L194">
        <f t="shared" si="94"/>
        <v>0.45</v>
      </c>
      <c r="M194">
        <f>IF(协调曲线图!$S$22="是，LCO绘图",IF((k0three/((POWER($A194,alfa03))-1)*(t0three/beta03))&gt;Lco瞬跳時間3,k0three/((POWER($A194,alfa03))-1)*(t0three/beta03),Lco瞬跳時間3)," ")</f>
        <v>0.38465722452006529</v>
      </c>
      <c r="N194">
        <f t="shared" si="95"/>
        <v>2000</v>
      </c>
      <c r="O194">
        <f t="shared" si="96"/>
        <v>150</v>
      </c>
      <c r="Q194">
        <f t="shared" si="97"/>
        <v>0.65</v>
      </c>
      <c r="R194">
        <f>IF(协调曲线图!$S$29="是，LCO绘图",IF((k0four/((POWER($A194,alfa04))-1)*(t0four/beta04))&gt;Lco瞬跳時間4,k0four/((POWER($A194,alfa04))-1)*(t0four/beta04),Lco瞬跳時間4)," ")</f>
        <v>0.47013660774674643</v>
      </c>
      <c r="S194">
        <f t="shared" si="98"/>
        <v>2500</v>
      </c>
      <c r="T194">
        <f t="shared" si="99"/>
        <v>150</v>
      </c>
      <c r="V194">
        <f t="shared" si="100"/>
        <v>0.85</v>
      </c>
      <c r="W194">
        <f>IF(协调曲线图!$S$36="是，LCO绘图",IF((k0five/((POWER($A194,alfa05))-1)*(t0five/beta05))&gt;Lco瞬跳時間5,k0five/((POWER($A194,alfa05))-1)*(t0five/beta05),Lco瞬跳時間5)," ")</f>
        <v>0.55561599097342762</v>
      </c>
      <c r="X194">
        <f t="shared" si="101"/>
        <v>3000</v>
      </c>
      <c r="Y194">
        <f t="shared" si="102"/>
        <v>150</v>
      </c>
      <c r="AA194">
        <f t="shared" si="103"/>
        <v>1.05</v>
      </c>
      <c r="AB194">
        <f>IF(协调曲线图!$S$43="是，LCO绘图",IF((k0six/((POWER($A194,alfa06))-1)*(t0six/beta06))&gt;Lco瞬跳時間6,k0six/((POWER($A194,alfa06))-1)*(t0six/beta06),Lco瞬跳時間6)," ")</f>
        <v>0.68383506581344933</v>
      </c>
      <c r="AC194">
        <f t="shared" si="104"/>
        <v>5000</v>
      </c>
      <c r="AD194">
        <f t="shared" si="105"/>
        <v>300</v>
      </c>
    </row>
    <row r="195" spans="1:30">
      <c r="A195">
        <v>188</v>
      </c>
      <c r="B195">
        <f t="shared" si="90"/>
        <v>0.05</v>
      </c>
      <c r="C195">
        <f>IF(协调曲线图!$S$8="是，LCO绘图",IF((k0one/((POWER($A195,alfa01))-1)*(t0one/beta01))&gt;Lco瞬跳時間1,k0one/((POWER($A195,alfa01))-1)*(t0one/beta01),Lco瞬跳時間1)," ")</f>
        <v>0.21346922101673166</v>
      </c>
      <c r="D195">
        <f t="shared" si="106"/>
        <v>1050</v>
      </c>
      <c r="E195">
        <f t="shared" si="107"/>
        <v>150</v>
      </c>
      <c r="G195">
        <f t="shared" si="91"/>
        <v>0.25</v>
      </c>
      <c r="H195">
        <f>IF(协调曲线图!$S$15="是，LCO绘图",IF((k0two/((POWER($A195,alfa02))-1)*(t0two/beta02))&gt;Lco瞬跳時間2,k0two/((POWER($A195,alfa02))-1)*(t0two/beta02),Lco瞬跳時間2)," ")</f>
        <v>0.29885690942342436</v>
      </c>
      <c r="I195">
        <f t="shared" si="92"/>
        <v>1500</v>
      </c>
      <c r="J195">
        <f t="shared" si="93"/>
        <v>150</v>
      </c>
      <c r="L195">
        <f t="shared" si="94"/>
        <v>0.45</v>
      </c>
      <c r="M195">
        <f>IF(协调曲线图!$S$22="是，LCO绘图",IF((k0three/((POWER($A195,alfa03))-1)*(t0three/beta03))&gt;Lco瞬跳時間3,k0three/((POWER($A195,alfa03))-1)*(t0three/beta03),Lco瞬跳時間3)," ")</f>
        <v>0.38424459783011705</v>
      </c>
      <c r="N195">
        <f t="shared" si="95"/>
        <v>2000</v>
      </c>
      <c r="O195">
        <f t="shared" si="96"/>
        <v>150</v>
      </c>
      <c r="Q195">
        <f t="shared" si="97"/>
        <v>0.65</v>
      </c>
      <c r="R195">
        <f>IF(协调曲线图!$S$29="是，LCO绘图",IF((k0four/((POWER($A195,alfa04))-1)*(t0four/beta04))&gt;Lco瞬跳時間4,k0four/((POWER($A195,alfa04))-1)*(t0four/beta04),Lco瞬跳時間4)," ")</f>
        <v>0.46963228623680969</v>
      </c>
      <c r="S195">
        <f t="shared" si="98"/>
        <v>2500</v>
      </c>
      <c r="T195">
        <f t="shared" si="99"/>
        <v>150</v>
      </c>
      <c r="V195">
        <f t="shared" si="100"/>
        <v>0.85</v>
      </c>
      <c r="W195">
        <f>IF(协调曲线图!$S$36="是，LCO绘图",IF((k0five/((POWER($A195,alfa05))-1)*(t0five/beta05))&gt;Lco瞬跳時間5,k0five/((POWER($A195,alfa05))-1)*(t0five/beta05),Lco瞬跳時間5)," ")</f>
        <v>0.55501997464350239</v>
      </c>
      <c r="X195">
        <f t="shared" si="101"/>
        <v>3000</v>
      </c>
      <c r="Y195">
        <f t="shared" si="102"/>
        <v>150</v>
      </c>
      <c r="AA195">
        <f t="shared" si="103"/>
        <v>1.05</v>
      </c>
      <c r="AB195">
        <f>IF(协调曲线图!$S$43="是，LCO绘图",IF((k0six/((POWER($A195,alfa06))-1)*(t0six/beta06))&gt;Lco瞬跳時間6,k0six/((POWER($A195,alfa06))-1)*(t0six/beta06),Lco瞬跳時間6)," ")</f>
        <v>0.68310150725354135</v>
      </c>
      <c r="AC195">
        <f t="shared" si="104"/>
        <v>5000</v>
      </c>
      <c r="AD195">
        <f t="shared" si="105"/>
        <v>300</v>
      </c>
    </row>
    <row r="196" spans="1:30">
      <c r="A196">
        <v>189</v>
      </c>
      <c r="B196">
        <f t="shared" si="90"/>
        <v>0.05</v>
      </c>
      <c r="C196">
        <f>IF(协调曲线图!$S$8="是，LCO绘图",IF((k0one/((POWER($A196,alfa01))-1)*(t0one/beta01))&gt;Lco瞬跳時間1,k0one/((POWER($A196,alfa01))-1)*(t0one/beta01),Lco瞬跳時間1)," ")</f>
        <v>0.2132416632869715</v>
      </c>
      <c r="D196">
        <f t="shared" si="106"/>
        <v>1050</v>
      </c>
      <c r="E196">
        <f t="shared" si="107"/>
        <v>150</v>
      </c>
      <c r="G196">
        <f t="shared" si="91"/>
        <v>0.25</v>
      </c>
      <c r="H196">
        <f>IF(协调曲线图!$S$15="是，LCO绘图",IF((k0two/((POWER($A196,alfa02))-1)*(t0two/beta02))&gt;Lco瞬跳時間2,k0two/((POWER($A196,alfa02))-1)*(t0two/beta02),Lco瞬跳時間2)," ")</f>
        <v>0.29853832860176011</v>
      </c>
      <c r="I196">
        <f t="shared" si="92"/>
        <v>1500</v>
      </c>
      <c r="J196">
        <f t="shared" si="93"/>
        <v>150</v>
      </c>
      <c r="L196">
        <f t="shared" si="94"/>
        <v>0.45</v>
      </c>
      <c r="M196">
        <f>IF(协调曲线图!$S$22="是，LCO绘图",IF((k0three/((POWER($A196,alfa03))-1)*(t0three/beta03))&gt;Lco瞬跳時間3,k0three/((POWER($A196,alfa03))-1)*(t0three/beta03),Lco瞬跳時間3)," ")</f>
        <v>0.38383499391654874</v>
      </c>
      <c r="N196">
        <f t="shared" si="95"/>
        <v>2000</v>
      </c>
      <c r="O196">
        <f t="shared" si="96"/>
        <v>150</v>
      </c>
      <c r="Q196">
        <f t="shared" si="97"/>
        <v>0.65</v>
      </c>
      <c r="R196">
        <f>IF(协调曲线图!$S$29="是，LCO绘图",IF((k0four/((POWER($A196,alfa04))-1)*(t0four/beta04))&gt;Lco瞬跳時間4,k0four/((POWER($A196,alfa04))-1)*(t0four/beta04),Lco瞬跳時間4)," ")</f>
        <v>0.46913165923133732</v>
      </c>
      <c r="S196">
        <f t="shared" si="98"/>
        <v>2500</v>
      </c>
      <c r="T196">
        <f t="shared" si="99"/>
        <v>150</v>
      </c>
      <c r="V196">
        <f t="shared" si="100"/>
        <v>0.85</v>
      </c>
      <c r="W196">
        <f>IF(协调曲线图!$S$36="是，LCO绘图",IF((k0five/((POWER($A196,alfa05))-1)*(t0five/beta05))&gt;Lco瞬跳時間5,k0five/((POWER($A196,alfa05))-1)*(t0five/beta05),Lco瞬跳時間5)," ")</f>
        <v>0.55442832454612589</v>
      </c>
      <c r="X196">
        <f t="shared" si="101"/>
        <v>3000</v>
      </c>
      <c r="Y196">
        <f t="shared" si="102"/>
        <v>150</v>
      </c>
      <c r="AA196">
        <f t="shared" si="103"/>
        <v>1.05</v>
      </c>
      <c r="AB196">
        <f>IF(协调曲线图!$S$43="是，LCO绘图",IF((k0six/((POWER($A196,alfa06))-1)*(t0six/beta06))&gt;Lco瞬跳時間6,k0six/((POWER($A196,alfa06))-1)*(t0six/beta06),Lco瞬跳時間6)," ")</f>
        <v>0.68237332251830884</v>
      </c>
      <c r="AC196">
        <f t="shared" si="104"/>
        <v>5000</v>
      </c>
      <c r="AD196">
        <f t="shared" si="105"/>
        <v>300</v>
      </c>
    </row>
    <row r="197" spans="1:30">
      <c r="A197">
        <v>190</v>
      </c>
      <c r="B197">
        <f t="shared" si="90"/>
        <v>0.05</v>
      </c>
      <c r="C197">
        <f>IF(协调曲线图!$S$8="是，LCO绘图",IF((k0one/((POWER($A197,alfa01))-1)*(t0one/beta01))&gt;Lco瞬跳時間1,k0one/((POWER($A197,alfa01))-1)*(t0one/beta01),Lco瞬跳時間1)," ")</f>
        <v>0.21301576332549757</v>
      </c>
      <c r="D197">
        <f t="shared" si="106"/>
        <v>1050</v>
      </c>
      <c r="E197">
        <f t="shared" si="107"/>
        <v>150</v>
      </c>
      <c r="G197">
        <f t="shared" si="91"/>
        <v>0.25</v>
      </c>
      <c r="H197">
        <f>IF(协调曲线图!$S$15="是，LCO绘图",IF((k0two/((POWER($A197,alfa02))-1)*(t0two/beta02))&gt;Lco瞬跳時間2,k0two/((POWER($A197,alfa02))-1)*(t0two/beta02),Lco瞬跳時間2)," ")</f>
        <v>0.29822206865569661</v>
      </c>
      <c r="I197">
        <f t="shared" si="92"/>
        <v>1500</v>
      </c>
      <c r="J197">
        <f t="shared" si="93"/>
        <v>150</v>
      </c>
      <c r="L197">
        <f t="shared" si="94"/>
        <v>0.45</v>
      </c>
      <c r="M197">
        <f>IF(协调曲线图!$S$22="是，LCO绘图",IF((k0three/((POWER($A197,alfa03))-1)*(t0three/beta03))&gt;Lco瞬跳時間3,k0three/((POWER($A197,alfa03))-1)*(t0three/beta03),Lco瞬跳時間3)," ")</f>
        <v>0.38342837398589569</v>
      </c>
      <c r="N197">
        <f t="shared" si="95"/>
        <v>2000</v>
      </c>
      <c r="O197">
        <f t="shared" si="96"/>
        <v>150</v>
      </c>
      <c r="Q197">
        <f t="shared" si="97"/>
        <v>0.65</v>
      </c>
      <c r="R197">
        <f>IF(协调曲线图!$S$29="是，LCO绘图",IF((k0four/((POWER($A197,alfa04))-1)*(t0four/beta04))&gt;Lco瞬跳時間4,k0four/((POWER($A197,alfa04))-1)*(t0four/beta04),Lco瞬跳時間4)," ")</f>
        <v>0.46863467931609465</v>
      </c>
      <c r="S197">
        <f t="shared" si="98"/>
        <v>2500</v>
      </c>
      <c r="T197">
        <f t="shared" si="99"/>
        <v>150</v>
      </c>
      <c r="V197">
        <f t="shared" si="100"/>
        <v>0.85</v>
      </c>
      <c r="W197">
        <f>IF(协调曲线图!$S$36="是，LCO绘图",IF((k0five/((POWER($A197,alfa05))-1)*(t0five/beta05))&gt;Lco瞬跳時間5,k0five/((POWER($A197,alfa05))-1)*(t0five/beta05),Lco瞬跳時間5)," ")</f>
        <v>0.55384098464629372</v>
      </c>
      <c r="X197">
        <f t="shared" si="101"/>
        <v>3000</v>
      </c>
      <c r="Y197">
        <f t="shared" si="102"/>
        <v>150</v>
      </c>
      <c r="AA197">
        <f t="shared" si="103"/>
        <v>1.05</v>
      </c>
      <c r="AB197">
        <f>IF(协调曲线图!$S$43="是，LCO绘图",IF((k0six/((POWER($A197,alfa06))-1)*(t0six/beta06))&gt;Lco瞬跳時間6,k0six/((POWER($A197,alfa06))-1)*(t0six/beta06),Lco瞬跳時間6)," ")</f>
        <v>0.68165044264159225</v>
      </c>
      <c r="AC197">
        <f t="shared" si="104"/>
        <v>5000</v>
      </c>
      <c r="AD197">
        <f t="shared" si="105"/>
        <v>300</v>
      </c>
    </row>
    <row r="198" spans="1:30">
      <c r="A198">
        <v>191</v>
      </c>
      <c r="B198">
        <f t="shared" si="90"/>
        <v>0.05</v>
      </c>
      <c r="C198">
        <f>IF(协调曲线图!$S$8="是，LCO绘图",IF((k0one/((POWER($A198,alfa01))-1)*(t0one/beta01))&gt;Lco瞬跳時間1,k0one/((POWER($A198,alfa01))-1)*(t0one/beta01),Lco瞬跳時間1)," ")</f>
        <v>0.21279149997264776</v>
      </c>
      <c r="D198">
        <f t="shared" si="106"/>
        <v>1050</v>
      </c>
      <c r="E198">
        <f t="shared" si="107"/>
        <v>150</v>
      </c>
      <c r="G198">
        <f t="shared" si="91"/>
        <v>0.25</v>
      </c>
      <c r="H198">
        <f>IF(协调曲线图!$S$15="是，LCO绘图",IF((k0two/((POWER($A198,alfa02))-1)*(t0two/beta02))&gt;Lco瞬跳時間2,k0two/((POWER($A198,alfa02))-1)*(t0two/beta02),Lco瞬跳時間2)," ")</f>
        <v>0.29790809996170686</v>
      </c>
      <c r="I198">
        <f t="shared" si="92"/>
        <v>1500</v>
      </c>
      <c r="J198">
        <f t="shared" si="93"/>
        <v>150</v>
      </c>
      <c r="L198">
        <f t="shared" si="94"/>
        <v>0.45</v>
      </c>
      <c r="M198">
        <f>IF(协调曲线图!$S$22="是，LCO绘图",IF((k0three/((POWER($A198,alfa03))-1)*(t0three/beta03))&gt;Lco瞬跳時間3,k0three/((POWER($A198,alfa03))-1)*(t0three/beta03),Lco瞬跳時間3)," ")</f>
        <v>0.38302469995076599</v>
      </c>
      <c r="N198">
        <f t="shared" si="95"/>
        <v>2000</v>
      </c>
      <c r="O198">
        <f t="shared" si="96"/>
        <v>150</v>
      </c>
      <c r="Q198">
        <f t="shared" si="97"/>
        <v>0.65</v>
      </c>
      <c r="R198">
        <f>IF(协调曲线图!$S$29="是，LCO绘图",IF((k0four/((POWER($A198,alfa04))-1)*(t0four/beta04))&gt;Lco瞬跳時間4,k0four/((POWER($A198,alfa04))-1)*(t0four/beta04),Lco瞬跳時間4)," ")</f>
        <v>0.46814129993982506</v>
      </c>
      <c r="S198">
        <f t="shared" si="98"/>
        <v>2500</v>
      </c>
      <c r="T198">
        <f t="shared" si="99"/>
        <v>150</v>
      </c>
      <c r="V198">
        <f t="shared" si="100"/>
        <v>0.85</v>
      </c>
      <c r="W198">
        <f>IF(协调曲线图!$S$36="是，LCO绘图",IF((k0five/((POWER($A198,alfa05))-1)*(t0five/beta05))&gt;Lco瞬跳時間5,k0five/((POWER($A198,alfa05))-1)*(t0five/beta05),Lco瞬跳時間5)," ")</f>
        <v>0.55325789992888419</v>
      </c>
      <c r="X198">
        <f t="shared" si="101"/>
        <v>3000</v>
      </c>
      <c r="Y198">
        <f t="shared" si="102"/>
        <v>150</v>
      </c>
      <c r="AA198">
        <f t="shared" si="103"/>
        <v>1.05</v>
      </c>
      <c r="AB198">
        <f>IF(协调曲线图!$S$43="是，LCO绘图",IF((k0six/((POWER($A198,alfa06))-1)*(t0six/beta06))&gt;Lco瞬跳時間6,k0six/((POWER($A198,alfa06))-1)*(t0six/beta06),Lco瞬跳時間6)," ")</f>
        <v>0.68093279991247291</v>
      </c>
      <c r="AC198">
        <f t="shared" si="104"/>
        <v>5000</v>
      </c>
      <c r="AD198">
        <f t="shared" si="105"/>
        <v>300</v>
      </c>
    </row>
    <row r="199" spans="1:30">
      <c r="A199">
        <v>192</v>
      </c>
      <c r="B199">
        <f t="shared" si="90"/>
        <v>0.05</v>
      </c>
      <c r="C199">
        <f>IF(协调曲线图!$S$8="是，LCO绘图",IF((k0one/((POWER($A199,alfa01))-1)*(t0one/beta01))&gt;Lco瞬跳時間1,k0one/((POWER($A199,alfa01))-1)*(t0one/beta01),Lco瞬跳時間1)," ")</f>
        <v>0.21256885245181292</v>
      </c>
      <c r="D199">
        <f t="shared" si="106"/>
        <v>1050</v>
      </c>
      <c r="E199">
        <f t="shared" si="107"/>
        <v>150</v>
      </c>
      <c r="G199">
        <f t="shared" si="91"/>
        <v>0.25</v>
      </c>
      <c r="H199">
        <f>IF(协调曲线图!$S$15="是，LCO绘图",IF((k0two/((POWER($A199,alfa02))-1)*(t0two/beta02))&gt;Lco瞬跳時間2,k0two/((POWER($A199,alfa02))-1)*(t0two/beta02),Lco瞬跳時間2)," ")</f>
        <v>0.29759639343253813</v>
      </c>
      <c r="I199">
        <f t="shared" si="92"/>
        <v>1500</v>
      </c>
      <c r="J199">
        <f t="shared" si="93"/>
        <v>150</v>
      </c>
      <c r="L199">
        <f t="shared" si="94"/>
        <v>0.45</v>
      </c>
      <c r="M199">
        <f>IF(协调曲线图!$S$22="是，LCO绘图",IF((k0three/((POWER($A199,alfa03))-1)*(t0three/beta03))&gt;Lco瞬跳時間3,k0three/((POWER($A199,alfa03))-1)*(t0three/beta03),Lco瞬跳時間3)," ")</f>
        <v>0.38262393441326331</v>
      </c>
      <c r="N199">
        <f t="shared" si="95"/>
        <v>2000</v>
      </c>
      <c r="O199">
        <f t="shared" si="96"/>
        <v>150</v>
      </c>
      <c r="Q199">
        <f t="shared" si="97"/>
        <v>0.65</v>
      </c>
      <c r="R199">
        <f>IF(协调曲线图!$S$29="是，LCO绘图",IF((k0four/((POWER($A199,alfa04))-1)*(t0four/beta04))&gt;Lco瞬跳時間4,k0four/((POWER($A199,alfa04))-1)*(t0four/beta04),Lco瞬跳時間4)," ")</f>
        <v>0.46765147539398849</v>
      </c>
      <c r="S199">
        <f t="shared" si="98"/>
        <v>2500</v>
      </c>
      <c r="T199">
        <f t="shared" si="99"/>
        <v>150</v>
      </c>
      <c r="V199">
        <f t="shared" si="100"/>
        <v>0.85</v>
      </c>
      <c r="W199">
        <f>IF(协调曲线图!$S$36="是，LCO绘图",IF((k0five/((POWER($A199,alfa05))-1)*(t0five/beta05))&gt;Lco瞬跳時間5,k0five/((POWER($A199,alfa05))-1)*(t0five/beta05),Lco瞬跳時間5)," ")</f>
        <v>0.55267901637471373</v>
      </c>
      <c r="X199">
        <f t="shared" si="101"/>
        <v>3000</v>
      </c>
      <c r="Y199">
        <f t="shared" si="102"/>
        <v>150</v>
      </c>
      <c r="AA199">
        <f t="shared" si="103"/>
        <v>1.05</v>
      </c>
      <c r="AB199">
        <f>IF(协调曲线图!$S$43="是，LCO绘图",IF((k0six/((POWER($A199,alfa06))-1)*(t0six/beta06))&gt;Lco瞬跳時間6,k0six/((POWER($A199,alfa06))-1)*(t0six/beta06),Lco瞬跳時間6)," ")</f>
        <v>0.68022032784580144</v>
      </c>
      <c r="AC199">
        <f t="shared" si="104"/>
        <v>5000</v>
      </c>
      <c r="AD199">
        <f t="shared" si="105"/>
        <v>300</v>
      </c>
    </row>
    <row r="200" spans="1:30">
      <c r="A200">
        <v>193</v>
      </c>
      <c r="B200">
        <f t="shared" ref="B200:B207" si="108">IF((kone/((POWER($A200,alfa1))-1)*(tone/beta1))&gt;瞬跳時間1,kone/((POWER($A200,alfa1))-1)*(tone/beta1),瞬跳時間1)</f>
        <v>0.05</v>
      </c>
      <c r="C200">
        <f>IF(协调曲线图!$S$8="是，LCO绘图",IF((k0one/((POWER($A200,alfa01))-1)*(t0one/beta01))&gt;Lco瞬跳時間1,k0one/((POWER($A200,alfa01))-1)*(t0one/beta01),Lco瞬跳時間1)," ")</f>
        <v>0.21234780036049578</v>
      </c>
      <c r="D200">
        <f t="shared" si="106"/>
        <v>1050</v>
      </c>
      <c r="E200">
        <f t="shared" si="107"/>
        <v>150</v>
      </c>
      <c r="G200">
        <f t="shared" ref="G200:G207" si="109">IF((ktwo/((POWER($A200,alfa2))-1)*(ttwo/beta2))&gt;瞬跳時間2,ktwo/((POWER($A200,alfa2))-1)*(ttwo/beta2),瞬跳時間2)</f>
        <v>0.25</v>
      </c>
      <c r="H200">
        <f>IF(协调曲线图!$S$15="是，LCO绘图",IF((k0two/((POWER($A200,alfa02))-1)*(t0two/beta02))&gt;Lco瞬跳時間2,k0two/((POWER($A200,alfa02))-1)*(t0two/beta02),Lco瞬跳時間2)," ")</f>
        <v>0.29728692050469413</v>
      </c>
      <c r="I200">
        <f t="shared" ref="I200:I206" si="110">IF(Istwo*$A200&gt;=瞬跳電流2,瞬跳電流2,Istwo*$A200)/(covb2/covt2)</f>
        <v>1500</v>
      </c>
      <c r="J200">
        <f t="shared" ref="J200:J206" si="111">IF(Is0two*$A200&gt;=Lco瞬跳電流2,Lco瞬跳電流2,Is0two*$A200)/(covb2/covt2)</f>
        <v>150</v>
      </c>
      <c r="L200">
        <f t="shared" ref="L200:L207" si="112">IF((kthree/((POWER($A200,alfa3))-1)*(tthree/beta3))&gt;瞬跳時間3,kthree/((POWER($A200,alfa3))-1)*(tthree/beta3),瞬跳時間3)</f>
        <v>0.45</v>
      </c>
      <c r="M200">
        <f>IF(协调曲线图!$S$22="是，LCO绘图",IF((k0three/((POWER($A200,alfa03))-1)*(t0three/beta03))&gt;Lco瞬跳時間3,k0three/((POWER($A200,alfa03))-1)*(t0three/beta03),Lco瞬跳時間3)," ")</f>
        <v>0.38222604064889248</v>
      </c>
      <c r="N200">
        <f t="shared" ref="N200:N206" si="113">IF(Isthree*$A200&gt;=瞬跳電流3,瞬跳電流3,Isthree*$A200)/(covb3/covt3)</f>
        <v>2000</v>
      </c>
      <c r="O200">
        <f t="shared" ref="O200:O206" si="114">IF(Is0three*$A200&gt;=Lco瞬跳電流3,Lco瞬跳電流3,Is0three*$A200)/(covb3/covt3)</f>
        <v>150</v>
      </c>
      <c r="Q200">
        <f t="shared" ref="Q200:Q207" si="115">IF((kfour/((POWER($A200,alfa4))-1)*(tfour/beta4))&gt;瞬跳時間4,kfour/((POWER($A200,alfa4))-1)*(tfour/beta4),瞬跳時間4)</f>
        <v>0.65</v>
      </c>
      <c r="R200">
        <f>IF(协调曲线图!$S$29="是，LCO绘图",IF((k0four/((POWER($A200,alfa04))-1)*(t0four/beta04))&gt;Lco瞬跳時間4,k0four/((POWER($A200,alfa04))-1)*(t0four/beta04),Lco瞬跳時間4)," ")</f>
        <v>0.46716516079309073</v>
      </c>
      <c r="S200">
        <f t="shared" ref="S200:S206" si="116">IF(Isfour*$A200&gt;=瞬跳電流4,瞬跳電流4,Isfour*$A200)/(covb4/covt4)</f>
        <v>2500</v>
      </c>
      <c r="T200">
        <f t="shared" ref="T200:T206" si="117">IF(Is0four*$A200&gt;=Lco瞬跳電流4,Lco瞬跳電流4,Is0four*$A200)/(covb4/covt4)</f>
        <v>150</v>
      </c>
      <c r="V200">
        <f t="shared" ref="V200:V207" si="118">IF((kfive/((POWER($A200,alfa5))-1)*(tfive/beta5))&gt;瞬跳時間5,kfive/((POWER($A200,alfa5))-1)*(tfive/beta5),瞬跳時間5)</f>
        <v>0.85</v>
      </c>
      <c r="W200">
        <f>IF(协调曲线图!$S$36="是，LCO绘图",IF((k0five/((POWER($A200,alfa05))-1)*(t0five/beta05))&gt;Lco瞬跳時間5,k0five/((POWER($A200,alfa05))-1)*(t0five/beta05),Lco瞬跳時間5)," ")</f>
        <v>0.55210428093728914</v>
      </c>
      <c r="X200">
        <f t="shared" ref="X200:X206" si="119">IF(Isfive*$A200&gt;=瞬跳電流5,瞬跳電流5,Isfive*$A200)/(covb5/covt5)</f>
        <v>3000</v>
      </c>
      <c r="Y200">
        <f t="shared" ref="Y200:Y206" si="120">IF(Is0five*$A200&gt;=Lco瞬跳電流5,Lco瞬跳電流5,Is0five*$A200)/(covb5/covt5)</f>
        <v>150</v>
      </c>
      <c r="AA200">
        <f t="shared" ref="AA200:AA207" si="121">IF((ksix/((POWER($A200,alfa6))-1)*(tsix/beta6))&gt;瞬跳時間6,ksix/((POWER($A200,alfa6))-1)*(tsix/beta6),瞬跳時間6)</f>
        <v>1.05</v>
      </c>
      <c r="AB200">
        <f>IF(协调曲线图!$S$43="是，LCO绘图",IF((k0six/((POWER($A200,alfa06))-1)*(t0six/beta06))&gt;Lco瞬跳時間6,k0six/((POWER($A200,alfa06))-1)*(t0six/beta06),Lco瞬跳時間6)," ")</f>
        <v>0.67951296115358661</v>
      </c>
      <c r="AC200">
        <f t="shared" ref="AC200:AC206" si="122">IF(Issix*$A200&gt;=瞬跳電流6,瞬跳電流6,Issix*$A200)/(covb6/covt6)</f>
        <v>5000</v>
      </c>
      <c r="AD200">
        <f t="shared" ref="AD200:AD206" si="123">IF(Is0six*$A200&gt;=Lco瞬跳電流6,Lco瞬跳電流6,Is0six*$A200)/(covb6/covt6)</f>
        <v>300</v>
      </c>
    </row>
    <row r="201" spans="1:30">
      <c r="A201">
        <v>194</v>
      </c>
      <c r="B201">
        <f t="shared" si="108"/>
        <v>0.05</v>
      </c>
      <c r="C201">
        <f>IF(协调曲线图!$S$8="是，LCO绘图",IF((k0one/((POWER($A201,alfa01))-1)*(t0one/beta01))&gt;Lco瞬跳時間1,k0one/((POWER($A201,alfa01))-1)*(t0one/beta01),Lco瞬跳時間1)," ")</f>
        <v>0.21212832366161882</v>
      </c>
      <c r="D201">
        <f t="shared" ref="D201:D206" si="124">IF(Isone*$A201&gt;=瞬跳電流1,瞬跳電流1,Isone*$A201)/(covb1/covt1)</f>
        <v>1050</v>
      </c>
      <c r="E201">
        <f t="shared" ref="E201:E206" si="125">IF(Is0one*$A201&gt;=Lco瞬跳電流1,Lco瞬跳電流1,Is0one*$A201)/(covb1/covt1)</f>
        <v>150</v>
      </c>
      <c r="G201">
        <f t="shared" si="109"/>
        <v>0.25</v>
      </c>
      <c r="H201">
        <f>IF(协调曲线图!$S$15="是，LCO绘图",IF((k0two/((POWER($A201,alfa02))-1)*(t0two/beta02))&gt;Lco瞬跳時間2,k0two/((POWER($A201,alfa02))-1)*(t0two/beta02),Lco瞬跳時間2)," ")</f>
        <v>0.29697965312626634</v>
      </c>
      <c r="I201">
        <f t="shared" si="110"/>
        <v>1500</v>
      </c>
      <c r="J201">
        <f t="shared" si="111"/>
        <v>150</v>
      </c>
      <c r="L201">
        <f t="shared" si="112"/>
        <v>0.45</v>
      </c>
      <c r="M201">
        <f>IF(协调曲线图!$S$22="是，LCO绘图",IF((k0three/((POWER($A201,alfa03))-1)*(t0three/beta03))&gt;Lco瞬跳時間3,k0three/((POWER($A201,alfa03))-1)*(t0three/beta03),Lco瞬跳時間3)," ")</f>
        <v>0.38183098259091391</v>
      </c>
      <c r="N201">
        <f t="shared" si="113"/>
        <v>2000</v>
      </c>
      <c r="O201">
        <f t="shared" si="114"/>
        <v>150</v>
      </c>
      <c r="Q201">
        <f t="shared" si="115"/>
        <v>0.65</v>
      </c>
      <c r="R201">
        <f>IF(协调曲线图!$S$29="是，LCO绘图",IF((k0four/((POWER($A201,alfa04))-1)*(t0four/beta04))&gt;Lco瞬跳時間4,k0four/((POWER($A201,alfa04))-1)*(t0four/beta04),Lco瞬跳時間4)," ")</f>
        <v>0.46668231205556143</v>
      </c>
      <c r="S201">
        <f t="shared" si="116"/>
        <v>2500</v>
      </c>
      <c r="T201">
        <f t="shared" si="117"/>
        <v>150</v>
      </c>
      <c r="V201">
        <f t="shared" si="118"/>
        <v>0.85</v>
      </c>
      <c r="W201">
        <f>IF(协调曲线图!$S$36="是，LCO绘图",IF((k0five/((POWER($A201,alfa05))-1)*(t0five/beta05))&gt;Lco瞬跳時間5,k0five/((POWER($A201,alfa05))-1)*(t0five/beta05),Lco瞬跳時間5)," ")</f>
        <v>0.55153364152020901</v>
      </c>
      <c r="X201">
        <f t="shared" si="119"/>
        <v>3000</v>
      </c>
      <c r="Y201">
        <f t="shared" si="120"/>
        <v>150</v>
      </c>
      <c r="AA201">
        <f t="shared" si="121"/>
        <v>1.05</v>
      </c>
      <c r="AB201">
        <f>IF(协调曲线图!$S$43="是，LCO绘图",IF((k0six/((POWER($A201,alfa06))-1)*(t0six/beta06))&gt;Lco瞬跳時間6,k0six/((POWER($A201,alfa06))-1)*(t0six/beta06),Lco瞬跳時間6)," ")</f>
        <v>0.67881063571718026</v>
      </c>
      <c r="AC201">
        <f t="shared" si="122"/>
        <v>5000</v>
      </c>
      <c r="AD201">
        <f t="shared" si="123"/>
        <v>300</v>
      </c>
    </row>
    <row r="202" spans="1:30">
      <c r="A202">
        <v>195</v>
      </c>
      <c r="B202">
        <f t="shared" si="108"/>
        <v>0.05</v>
      </c>
      <c r="C202">
        <f>IF(协调曲线图!$S$8="是，LCO绘图",IF((k0one/((POWER($A202,alfa01))-1)*(t0one/beta01))&gt;Lco瞬跳時間1,k0one/((POWER($A202,alfa01))-1)*(t0one/beta01),Lco瞬跳時間1)," ")</f>
        <v>0.21191040267508479</v>
      </c>
      <c r="D202">
        <f t="shared" si="124"/>
        <v>1050</v>
      </c>
      <c r="E202">
        <f t="shared" si="125"/>
        <v>150</v>
      </c>
      <c r="G202">
        <f t="shared" si="109"/>
        <v>0.25</v>
      </c>
      <c r="H202">
        <f>IF(协调曲线图!$S$15="是，LCO绘图",IF((k0two/((POWER($A202,alfa02))-1)*(t0two/beta02))&gt;Lco瞬跳時間2,k0two/((POWER($A202,alfa02))-1)*(t0two/beta02),Lco瞬跳時間2)," ")</f>
        <v>0.29667456374511875</v>
      </c>
      <c r="I202">
        <f t="shared" si="110"/>
        <v>1500</v>
      </c>
      <c r="J202">
        <f t="shared" si="111"/>
        <v>150</v>
      </c>
      <c r="L202">
        <f t="shared" si="112"/>
        <v>0.45</v>
      </c>
      <c r="M202">
        <f>IF(协调曲线图!$S$22="是，LCO绘图",IF((k0three/((POWER($A202,alfa03))-1)*(t0three/beta03))&gt;Lco瞬跳時間3,k0three/((POWER($A202,alfa03))-1)*(t0three/beta03),Lco瞬跳時間3)," ")</f>
        <v>0.38143872481515267</v>
      </c>
      <c r="N202">
        <f t="shared" si="113"/>
        <v>2000</v>
      </c>
      <c r="O202">
        <f t="shared" si="114"/>
        <v>150</v>
      </c>
      <c r="Q202">
        <f t="shared" si="115"/>
        <v>0.65</v>
      </c>
      <c r="R202">
        <f>IF(协调曲线图!$S$29="是，LCO绘图",IF((k0four/((POWER($A202,alfa04))-1)*(t0four/beta04))&gt;Lco瞬跳時間4,k0four/((POWER($A202,alfa04))-1)*(t0four/beta04),Lco瞬跳時間4)," ")</f>
        <v>0.4662028858851866</v>
      </c>
      <c r="S202">
        <f t="shared" si="116"/>
        <v>2500</v>
      </c>
      <c r="T202">
        <f t="shared" si="117"/>
        <v>150</v>
      </c>
      <c r="V202">
        <f t="shared" si="118"/>
        <v>0.85</v>
      </c>
      <c r="W202">
        <f>IF(协调曲线图!$S$36="是，LCO绘图",IF((k0five/((POWER($A202,alfa05))-1)*(t0five/beta05))&gt;Lco瞬跳時間5,k0five/((POWER($A202,alfa05))-1)*(t0five/beta05),Lco瞬跳時間5)," ")</f>
        <v>0.55096704695522059</v>
      </c>
      <c r="X202">
        <f t="shared" si="119"/>
        <v>3000</v>
      </c>
      <c r="Y202">
        <f t="shared" si="120"/>
        <v>150</v>
      </c>
      <c r="AA202">
        <f t="shared" si="121"/>
        <v>1.05</v>
      </c>
      <c r="AB202">
        <f>IF(协调曲线图!$S$43="是，LCO绘图",IF((k0six/((POWER($A202,alfa06))-1)*(t0six/beta06))&gt;Lco瞬跳時間6,k0six/((POWER($A202,alfa06))-1)*(t0six/beta06),Lco瞬跳時間6)," ")</f>
        <v>0.67811328856027142</v>
      </c>
      <c r="AC202">
        <f t="shared" si="122"/>
        <v>5000</v>
      </c>
      <c r="AD202">
        <f t="shared" si="123"/>
        <v>300</v>
      </c>
    </row>
    <row r="203" spans="1:30">
      <c r="A203">
        <v>196</v>
      </c>
      <c r="B203">
        <f t="shared" si="108"/>
        <v>0.05</v>
      </c>
      <c r="C203">
        <f>IF(协调曲线图!$S$8="是，LCO绘图",IF((k0one/((POWER($A203,alfa01))-1)*(t0one/beta01))&gt;Lco瞬跳時間1,k0one/((POWER($A203,alfa01))-1)*(t0one/beta01),Lco瞬跳時間1)," ")</f>
        <v>0.21169401806957142</v>
      </c>
      <c r="D203">
        <f t="shared" si="124"/>
        <v>1050</v>
      </c>
      <c r="E203">
        <f t="shared" si="125"/>
        <v>150</v>
      </c>
      <c r="G203">
        <f t="shared" si="109"/>
        <v>0.25</v>
      </c>
      <c r="H203">
        <f>IF(协调曲线图!$S$15="是，LCO绘图",IF((k0two/((POWER($A203,alfa02))-1)*(t0two/beta02))&gt;Lco瞬跳時間2,k0two/((POWER($A203,alfa02))-1)*(t0two/beta02),Lco瞬跳時間2)," ")</f>
        <v>0.29637162529740002</v>
      </c>
      <c r="I203">
        <f t="shared" si="110"/>
        <v>1500</v>
      </c>
      <c r="J203">
        <f t="shared" si="111"/>
        <v>150</v>
      </c>
      <c r="L203">
        <f t="shared" si="112"/>
        <v>0.45</v>
      </c>
      <c r="M203">
        <f>IF(协调曲线图!$S$22="是，LCO绘图",IF((k0three/((POWER($A203,alfa03))-1)*(t0three/beta03))&gt;Lco瞬跳時間3,k0three/((POWER($A203,alfa03))-1)*(t0three/beta03),Lco瞬跳時間3)," ")</f>
        <v>0.3810492325252286</v>
      </c>
      <c r="N203">
        <f t="shared" si="113"/>
        <v>2000</v>
      </c>
      <c r="O203">
        <f t="shared" si="114"/>
        <v>150</v>
      </c>
      <c r="Q203">
        <f t="shared" si="115"/>
        <v>0.65</v>
      </c>
      <c r="R203">
        <f>IF(协调曲线图!$S$29="是，LCO绘图",IF((k0four/((POWER($A203,alfa04))-1)*(t0four/beta04))&gt;Lco瞬跳時間4,k0four/((POWER($A203,alfa04))-1)*(t0four/beta04),Lco瞬跳時間4)," ")</f>
        <v>0.46572683975305718</v>
      </c>
      <c r="S203">
        <f t="shared" si="116"/>
        <v>2500</v>
      </c>
      <c r="T203">
        <f t="shared" si="117"/>
        <v>150</v>
      </c>
      <c r="V203">
        <f t="shared" si="118"/>
        <v>0.85</v>
      </c>
      <c r="W203">
        <f>IF(协调曲线图!$S$36="是，LCO绘图",IF((k0five/((POWER($A203,alfa05))-1)*(t0five/beta05))&gt;Lco瞬跳時間5,k0five/((POWER($A203,alfa05))-1)*(t0five/beta05),Lco瞬跳時間5)," ")</f>
        <v>0.55040444698088575</v>
      </c>
      <c r="X203">
        <f t="shared" si="119"/>
        <v>3000</v>
      </c>
      <c r="Y203">
        <f t="shared" si="120"/>
        <v>150</v>
      </c>
      <c r="AA203">
        <f t="shared" si="121"/>
        <v>1.05</v>
      </c>
      <c r="AB203">
        <f>IF(协调曲线图!$S$43="是，LCO绘图",IF((k0six/((POWER($A203,alfa06))-1)*(t0six/beta06))&gt;Lco瞬跳時間6,k0six/((POWER($A203,alfa06))-1)*(t0six/beta06),Lco瞬跳時間6)," ")</f>
        <v>0.67742085782262862</v>
      </c>
      <c r="AC203">
        <f t="shared" si="122"/>
        <v>5000</v>
      </c>
      <c r="AD203">
        <f t="shared" si="123"/>
        <v>300</v>
      </c>
    </row>
    <row r="204" spans="1:30">
      <c r="A204">
        <v>197</v>
      </c>
      <c r="B204">
        <f t="shared" si="108"/>
        <v>0.05</v>
      </c>
      <c r="C204">
        <f>IF(协调曲线图!$S$8="是，LCO绘图",IF((k0one/((POWER($A204,alfa01))-1)*(t0one/beta01))&gt;Lco瞬跳時間1,k0one/((POWER($A204,alfa01))-1)*(t0one/beta01),Lco瞬跳時間1)," ")</f>
        <v>0.2114791508545571</v>
      </c>
      <c r="D204">
        <f t="shared" si="124"/>
        <v>1050</v>
      </c>
      <c r="E204">
        <f t="shared" si="125"/>
        <v>150</v>
      </c>
      <c r="G204">
        <f t="shared" si="109"/>
        <v>0.25</v>
      </c>
      <c r="H204">
        <f>IF(协调曲线图!$S$15="是，LCO绘图",IF((k0two/((POWER($A204,alfa02))-1)*(t0two/beta02))&gt;Lco瞬跳時間2,k0two/((POWER($A204,alfa02))-1)*(t0two/beta02),Lco瞬跳時間2)," ")</f>
        <v>0.2960708111963799</v>
      </c>
      <c r="I204">
        <f t="shared" si="110"/>
        <v>1500</v>
      </c>
      <c r="J204">
        <f t="shared" si="111"/>
        <v>150</v>
      </c>
      <c r="L204">
        <f t="shared" si="112"/>
        <v>0.45</v>
      </c>
      <c r="M204">
        <f>IF(协调曲线图!$S$22="是，LCO绘图",IF((k0three/((POWER($A204,alfa03))-1)*(t0three/beta03))&gt;Lco瞬跳時間3,k0three/((POWER($A204,alfa03))-1)*(t0three/beta03),Lco瞬跳時間3)," ")</f>
        <v>0.38066247153820282</v>
      </c>
      <c r="N204">
        <f t="shared" si="113"/>
        <v>2000</v>
      </c>
      <c r="O204">
        <f t="shared" si="114"/>
        <v>150</v>
      </c>
      <c r="Q204">
        <f t="shared" si="115"/>
        <v>0.65</v>
      </c>
      <c r="R204">
        <f>IF(协调曲线图!$S$29="是，LCO绘图",IF((k0four/((POWER($A204,alfa04))-1)*(t0four/beta04))&gt;Lco瞬跳時間4,k0four/((POWER($A204,alfa04))-1)*(t0four/beta04),Lco瞬跳時間4)," ")</f>
        <v>0.46525413188002562</v>
      </c>
      <c r="S204">
        <f t="shared" si="116"/>
        <v>2500</v>
      </c>
      <c r="T204">
        <f t="shared" si="117"/>
        <v>150</v>
      </c>
      <c r="V204">
        <f t="shared" si="118"/>
        <v>0.85</v>
      </c>
      <c r="W204">
        <f>IF(协调曲线图!$S$36="是，LCO绘图",IF((k0five/((POWER($A204,alfa05))-1)*(t0five/beta05))&gt;Lco瞬跳時間5,k0five/((POWER($A204,alfa05))-1)*(t0five/beta05),Lco瞬跳時間5)," ")</f>
        <v>0.54984579222184848</v>
      </c>
      <c r="X204">
        <f t="shared" si="119"/>
        <v>3000</v>
      </c>
      <c r="Y204">
        <f t="shared" si="120"/>
        <v>150</v>
      </c>
      <c r="AA204">
        <f t="shared" si="121"/>
        <v>1.05</v>
      </c>
      <c r="AB204">
        <f>IF(协调曲线图!$S$43="是，LCO绘图",IF((k0six/((POWER($A204,alfa06))-1)*(t0six/beta06))&gt;Lco瞬跳時間6,k0six/((POWER($A204,alfa06))-1)*(t0six/beta06),Lco瞬跳時間6)," ")</f>
        <v>0.67673328273458278</v>
      </c>
      <c r="AC204">
        <f t="shared" si="122"/>
        <v>5000</v>
      </c>
      <c r="AD204">
        <f t="shared" si="123"/>
        <v>300</v>
      </c>
    </row>
    <row r="205" spans="1:30">
      <c r="A205">
        <v>198</v>
      </c>
      <c r="B205">
        <f t="shared" si="108"/>
        <v>0.05</v>
      </c>
      <c r="C205">
        <f>IF(协调曲线图!$S$8="是，LCO绘图",IF((k0one/((POWER($A205,alfa01))-1)*(t0one/beta01))&gt;Lco瞬跳時間1,k0one/((POWER($A205,alfa01))-1)*(t0one/beta01),Lco瞬跳時間1)," ")</f>
        <v>0.2112657823725706</v>
      </c>
      <c r="D205">
        <f t="shared" si="124"/>
        <v>1050</v>
      </c>
      <c r="E205">
        <f t="shared" si="125"/>
        <v>150</v>
      </c>
      <c r="G205">
        <f t="shared" si="109"/>
        <v>0.25</v>
      </c>
      <c r="H205">
        <f>IF(协调曲线图!$S$15="是，LCO绘图",IF((k0two/((POWER($A205,alfa02))-1)*(t0two/beta02))&gt;Lco瞬跳時間2,k0two/((POWER($A205,alfa02))-1)*(t0two/beta02),Lco瞬跳時間2)," ")</f>
        <v>0.29577209532159882</v>
      </c>
      <c r="I205">
        <f t="shared" si="110"/>
        <v>1500</v>
      </c>
      <c r="J205">
        <f t="shared" si="111"/>
        <v>150</v>
      </c>
      <c r="L205">
        <f t="shared" si="112"/>
        <v>0.45</v>
      </c>
      <c r="M205">
        <f>IF(协调曲线图!$S$22="是，LCO绘图",IF((k0three/((POWER($A205,alfa03))-1)*(t0three/beta03))&gt;Lco瞬跳時間3,k0three/((POWER($A205,alfa03))-1)*(t0three/beta03),Lco瞬跳時間3)," ")</f>
        <v>0.38027840827062709</v>
      </c>
      <c r="N205">
        <f t="shared" si="113"/>
        <v>2000</v>
      </c>
      <c r="O205">
        <f t="shared" si="114"/>
        <v>150</v>
      </c>
      <c r="Q205">
        <f t="shared" si="115"/>
        <v>0.65</v>
      </c>
      <c r="R205">
        <f>IF(协调曲线图!$S$29="是，LCO绘图",IF((k0four/((POWER($A205,alfa04))-1)*(t0four/beta04))&gt;Lco瞬跳時間4,k0four/((POWER($A205,alfa04))-1)*(t0four/beta04),Lco瞬跳時間4)," ")</f>
        <v>0.46478472121965531</v>
      </c>
      <c r="S205">
        <f t="shared" si="116"/>
        <v>2500</v>
      </c>
      <c r="T205">
        <f t="shared" si="117"/>
        <v>150</v>
      </c>
      <c r="V205">
        <f t="shared" si="118"/>
        <v>0.85</v>
      </c>
      <c r="W205">
        <f>IF(协调曲线图!$S$36="是，LCO绘图",IF((k0five/((POWER($A205,alfa05))-1)*(t0five/beta05))&gt;Lco瞬跳時間5,k0five/((POWER($A205,alfa05))-1)*(t0five/beta05),Lco瞬跳時間5)," ")</f>
        <v>0.54929103416868363</v>
      </c>
      <c r="X205">
        <f t="shared" si="119"/>
        <v>3000</v>
      </c>
      <c r="Y205">
        <f t="shared" si="120"/>
        <v>150</v>
      </c>
      <c r="AA205">
        <f t="shared" si="121"/>
        <v>1.05</v>
      </c>
      <c r="AB205">
        <f>IF(协调曲线图!$S$43="是，LCO绘图",IF((k0six/((POWER($A205,alfa06))-1)*(t0six/beta06))&gt;Lco瞬跳時間6,k0six/((POWER($A205,alfa06))-1)*(t0six/beta06),Lco瞬跳時間6)," ")</f>
        <v>0.67605050359222596</v>
      </c>
      <c r="AC205">
        <f t="shared" si="122"/>
        <v>5000</v>
      </c>
      <c r="AD205">
        <f t="shared" si="123"/>
        <v>300</v>
      </c>
    </row>
    <row r="206" spans="1:30">
      <c r="A206">
        <v>199</v>
      </c>
      <c r="B206">
        <f t="shared" si="108"/>
        <v>0.05</v>
      </c>
      <c r="C206">
        <f>IF(协调曲线图!$S$8="是，LCO绘图",IF((k0one/((POWER($A206,alfa01))-1)*(t0one/beta01))&gt;Lco瞬跳時間1,k0one/((POWER($A206,alfa01))-1)*(t0one/beta01),Lco瞬跳時間1)," ")</f>
        <v>0.21105389429165555</v>
      </c>
      <c r="D206">
        <f t="shared" si="124"/>
        <v>1050</v>
      </c>
      <c r="E206">
        <f t="shared" si="125"/>
        <v>150</v>
      </c>
      <c r="G206">
        <f t="shared" si="109"/>
        <v>0.25</v>
      </c>
      <c r="H206">
        <f>IF(协调曲线图!$S$15="是，LCO绘图",IF((k0two/((POWER($A206,alfa02))-1)*(t0two/beta02))&gt;Lco瞬跳時間2,k0two/((POWER($A206,alfa02))-1)*(t0two/beta02),Lco瞬跳時間2)," ")</f>
        <v>0.29547545200831776</v>
      </c>
      <c r="I206">
        <f t="shared" si="110"/>
        <v>1500</v>
      </c>
      <c r="J206">
        <f t="shared" si="111"/>
        <v>150</v>
      </c>
      <c r="L206">
        <f t="shared" si="112"/>
        <v>0.45</v>
      </c>
      <c r="M206">
        <f>IF(协调曲线图!$S$22="是，LCO绘图",IF((k0three/((POWER($A206,alfa03))-1)*(t0three/beta03))&gt;Lco瞬跳時間3,k0three/((POWER($A206,alfa03))-1)*(t0three/beta03),Lco瞬跳時間3)," ")</f>
        <v>0.37989700972498003</v>
      </c>
      <c r="N206">
        <f t="shared" si="113"/>
        <v>2000</v>
      </c>
      <c r="O206">
        <f t="shared" si="114"/>
        <v>150</v>
      </c>
      <c r="Q206">
        <f t="shared" si="115"/>
        <v>0.65</v>
      </c>
      <c r="R206">
        <f>IF(协调曲线图!$S$29="是，LCO绘图",IF((k0four/((POWER($A206,alfa04))-1)*(t0four/beta04))&gt;Lco瞬跳時間4,k0four/((POWER($A206,alfa04))-1)*(t0four/beta04),Lco瞬跳時間4)," ")</f>
        <v>0.46431856744164224</v>
      </c>
      <c r="S206">
        <f t="shared" si="116"/>
        <v>2500</v>
      </c>
      <c r="T206">
        <f t="shared" si="117"/>
        <v>150</v>
      </c>
      <c r="V206">
        <f t="shared" si="118"/>
        <v>0.85</v>
      </c>
      <c r="W206">
        <f>IF(协调曲线图!$S$36="是，LCO绘图",IF((k0five/((POWER($A206,alfa05))-1)*(t0five/beta05))&gt;Lco瞬跳時間5,k0five/((POWER($A206,alfa05))-1)*(t0five/beta05),Lco瞬跳時間5)," ")</f>
        <v>0.5487401251583045</v>
      </c>
      <c r="X206">
        <f t="shared" si="119"/>
        <v>3000</v>
      </c>
      <c r="Y206">
        <f t="shared" si="120"/>
        <v>150</v>
      </c>
      <c r="AA206">
        <f t="shared" si="121"/>
        <v>1.05</v>
      </c>
      <c r="AB206">
        <f>IF(协调曲线图!$S$43="是，LCO绘图",IF((k0six/((POWER($A206,alfa06))-1)*(t0six/beta06))&gt;Lco瞬跳時間6,k0six/((POWER($A206,alfa06))-1)*(t0six/beta06),Lco瞬跳時間6)," ")</f>
        <v>0.67537246173329779</v>
      </c>
      <c r="AC206">
        <f t="shared" si="122"/>
        <v>5000</v>
      </c>
      <c r="AD206">
        <f t="shared" si="123"/>
        <v>300</v>
      </c>
    </row>
    <row r="207" spans="1:30">
      <c r="A207">
        <v>200</v>
      </c>
      <c r="B207">
        <f t="shared" si="108"/>
        <v>0.05</v>
      </c>
      <c r="C207">
        <f>IF(协调曲线图!$S$8="是，LCO绘图",IF((k0one/((POWER($A207,alfa01))-1)*(t0one/beta01))&gt;Lco瞬跳時間1,k0one/((POWER($A207,alfa01))-1)*(t0one/beta01),Lco瞬跳時間1)," ")</f>
        <v>0.21084346859804268</v>
      </c>
      <c r="D207">
        <f>IF(AND(Isone*$A207&gt;=瞬跳電流1,B207&gt;瞬跳時間1),瞬跳電流1,Isone*$A207)/(covb1/covt1)</f>
        <v>6400</v>
      </c>
      <c r="E207">
        <f>IF(AND(Is0one*$A207&gt;=Lco瞬跳電流1,C207&gt;=Lco瞬跳時間1),Is0one*$A207,Lco瞬跳電流1)/(covb1/covt1)</f>
        <v>3000</v>
      </c>
      <c r="G207">
        <f t="shared" si="109"/>
        <v>0.25</v>
      </c>
      <c r="H207">
        <f>IF(协调曲线图!$S$15="是，LCO绘图",IF((k0two/((POWER($A207,alfa02))-1)*(t0two/beta02))&gt;Lco瞬跳時間2,k0two/((POWER($A207,alfa02))-1)*(t0two/beta02),Lco瞬跳時間2)," ")</f>
        <v>0.29518085603725974</v>
      </c>
      <c r="I207">
        <f>IF(AND(Istwo*$A207&gt;=瞬跳電流2,G207&gt;瞬跳時間2),瞬跳電流2,Istwo*$A207)/(covb2/covt2)</f>
        <v>12000</v>
      </c>
      <c r="J207">
        <f>IF(AND(Is0two*$A207&gt;=Lco瞬跳電流2,H207&gt;=Lco瞬跳時間2),Is0two*$A207,Lco瞬跳電流2)/(covb2/covt2)</f>
        <v>3000</v>
      </c>
      <c r="L207">
        <f t="shared" si="112"/>
        <v>0.45</v>
      </c>
      <c r="M207">
        <f>IF(协调曲线图!$S$22="是，LCO绘图",IF((k0three/((POWER($A207,alfa03))-1)*(t0three/beta03))&gt;Lco瞬跳時間3,k0three/((POWER($A207,alfa03))-1)*(t0three/beta03),Lco瞬跳時間3)," ")</f>
        <v>0.37951824347647689</v>
      </c>
      <c r="N207">
        <f>IF(AND(Isthree*$A207&gt;=瞬跳電流3,L207&gt;瞬跳時間3),瞬跳電流3,Isthree*$A207)/(covb3/covt3)</f>
        <v>28000</v>
      </c>
      <c r="O207">
        <f>IF(AND(Is0three*$A207&gt;=Lco瞬跳電流3,M207&gt;=Lco瞬跳時間3),Is0three*$A207,Lco瞬跳電流3)/(covb3/covt3)</f>
        <v>3000</v>
      </c>
      <c r="Q207">
        <f t="shared" si="115"/>
        <v>0.65</v>
      </c>
      <c r="R207">
        <f>IF(协调曲线图!$S$29="是，LCO绘图",IF((k0four/((POWER($A207,alfa04))-1)*(t0four/beta04))&gt;Lco瞬跳時間4,k0four/((POWER($A207,alfa04))-1)*(t0four/beta04),Lco瞬跳時間4)," ")</f>
        <v>0.46385563091569393</v>
      </c>
      <c r="S207">
        <f>IF(AND(Isfour*$A207&gt;=瞬跳電流4,Q207&gt;瞬跳時間4),瞬跳電流4,Isfour*$A207)/(covb4/covt4)</f>
        <v>44000</v>
      </c>
      <c r="T207">
        <f>IF(AND(Is0four*$A207&gt;=Lco瞬跳電流4,R207&gt;=Lco瞬跳時間4),Is0four*$A207,Lco瞬跳電流4)/(covb4/covt4)</f>
        <v>3000</v>
      </c>
      <c r="V207">
        <f t="shared" si="118"/>
        <v>0.85</v>
      </c>
      <c r="W207">
        <f>IF(协调曲线图!$S$36="是，LCO绘图",IF((k0five/((POWER($A207,alfa05))-1)*(t0five/beta05))&gt;Lco瞬跳時間5,k0five/((POWER($A207,alfa05))-1)*(t0five/beta05),Lco瞬跳時間5)," ")</f>
        <v>0.54819301835491108</v>
      </c>
      <c r="X207">
        <f>IF(AND(Isfive*$A207&gt;=瞬跳電流5,V207&gt;瞬跳時間5),瞬跳電流5,Isfive*$A207)/(covb5/covt5)</f>
        <v>76000</v>
      </c>
      <c r="Y207">
        <f>IF(AND(Is0five*$A207&gt;=Lco瞬跳電流5,W207&gt;=Lco瞬跳時間5),Is0five*$A207,Lco瞬跳電流5)/(covb5/covt5)</f>
        <v>3000</v>
      </c>
      <c r="AA207">
        <f t="shared" si="121"/>
        <v>1.05</v>
      </c>
      <c r="AB207">
        <f>IF(协调曲线图!$S$43="是，LCO绘图",IF((k0six/((POWER($A207,alfa06))-1)*(t0six/beta06))&gt;Lco瞬跳時間6,k0six/((POWER($A207,alfa06))-1)*(t0six/beta06),Lco瞬跳時間6)," ")</f>
        <v>0.67469909951373663</v>
      </c>
      <c r="AC207">
        <f>IF(AND(Issix*$A207&gt;=瞬跳電流6,AA207&gt;瞬跳時間6),瞬跳電流6,Issix*$A207)/(covb6/covt6)</f>
        <v>100000</v>
      </c>
      <c r="AD207">
        <f>IF(AND(Is0six*$A207&gt;=Lco瞬跳電流6,AB207&gt;=Lco瞬跳時間6),Is0six*$A207,Lco瞬跳電流6)/(covb6/covt6)</f>
        <v>6000</v>
      </c>
    </row>
    <row r="208" spans="1:30"/>
    <row r="209"/>
    <row r="210"/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5"/>
  <sheetViews>
    <sheetView view="pageBreakPreview" zoomScale="75" workbookViewId="0">
      <selection activeCell="L5" sqref="L5"/>
    </sheetView>
  </sheetViews>
  <sheetFormatPr defaultColWidth="0" defaultRowHeight="19.5" customHeight="1" zeroHeight="1"/>
  <cols>
    <col min="1" max="2" width="9" customWidth="1"/>
    <col min="3" max="3" width="9.125" bestFit="1" customWidth="1"/>
    <col min="4" max="4" width="9" customWidth="1"/>
    <col min="5" max="5" width="9.125" bestFit="1" customWidth="1"/>
    <col min="6" max="7" width="9.75" bestFit="1" customWidth="1"/>
    <col min="8" max="8" width="9.125" bestFit="1" customWidth="1"/>
    <col min="9" max="12" width="9" customWidth="1"/>
  </cols>
  <sheetData>
    <row r="1" spans="1:12" ht="19.5" customHeight="1">
      <c r="A1" s="1" t="s">
        <v>3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9.5" customHeight="1" thickBot="1">
      <c r="A2" s="3"/>
      <c r="B2" s="3"/>
      <c r="C2" s="4" t="s">
        <v>4</v>
      </c>
      <c r="D2" s="4"/>
      <c r="E2" s="4"/>
      <c r="F2" s="4"/>
      <c r="G2" s="3"/>
      <c r="H2" s="3"/>
      <c r="I2" s="3"/>
      <c r="J2" s="3"/>
      <c r="K2" s="3"/>
      <c r="L2" s="3"/>
    </row>
    <row r="3" spans="1:12" ht="19.5" customHeight="1">
      <c r="A3" s="3"/>
      <c r="B3" s="3"/>
      <c r="C3" s="5" t="s">
        <v>5</v>
      </c>
      <c r="D3" s="6"/>
      <c r="E3" s="176" t="str">
        <f>coname1</f>
        <v>6kvC1变馈线</v>
      </c>
      <c r="F3" s="176"/>
      <c r="G3" s="176"/>
      <c r="H3" s="6"/>
      <c r="I3" s="6"/>
      <c r="J3" s="6"/>
      <c r="K3" s="7"/>
      <c r="L3" s="3"/>
    </row>
    <row r="4" spans="1:12" ht="19.5" customHeight="1">
      <c r="A4" s="3"/>
      <c r="B4" s="3"/>
      <c r="C4" s="177" t="s">
        <v>6</v>
      </c>
      <c r="D4" s="178"/>
      <c r="E4" s="178"/>
      <c r="F4" s="8">
        <f>cokva1</f>
        <v>2000</v>
      </c>
      <c r="G4" s="9" t="s">
        <v>7</v>
      </c>
      <c r="H4" s="179"/>
      <c r="I4" s="178"/>
      <c r="J4" s="178"/>
      <c r="K4" s="180"/>
      <c r="L4" s="10"/>
    </row>
    <row r="5" spans="1:12" ht="19.5" customHeight="1">
      <c r="A5" s="3"/>
      <c r="B5" s="3"/>
      <c r="C5" s="163" t="s">
        <v>8</v>
      </c>
      <c r="D5" s="164"/>
      <c r="E5" s="164"/>
      <c r="F5" s="8">
        <f>covb1</f>
        <v>11.4</v>
      </c>
      <c r="G5" s="9" t="s">
        <v>9</v>
      </c>
      <c r="H5" s="165"/>
      <c r="I5" s="166"/>
      <c r="J5" s="166"/>
      <c r="K5" s="167"/>
      <c r="L5" s="10"/>
    </row>
    <row r="6" spans="1:12" ht="19.5" customHeight="1">
      <c r="A6" s="3"/>
      <c r="B6" s="3"/>
      <c r="C6" s="163" t="s">
        <v>10</v>
      </c>
      <c r="D6" s="164"/>
      <c r="E6" s="164"/>
      <c r="F6" s="8">
        <f>covt1</f>
        <v>11.4</v>
      </c>
      <c r="G6" s="9" t="s">
        <v>9</v>
      </c>
      <c r="H6" s="165"/>
      <c r="I6" s="166"/>
      <c r="J6" s="166"/>
      <c r="K6" s="167"/>
      <c r="L6" s="10"/>
    </row>
    <row r="7" spans="1:12" ht="19.5" customHeight="1">
      <c r="A7" s="3"/>
      <c r="B7" s="3"/>
      <c r="C7" s="163" t="s">
        <v>11</v>
      </c>
      <c r="D7" s="164"/>
      <c r="E7" s="164"/>
      <c r="F7" s="8">
        <f>L百分1</f>
        <v>100</v>
      </c>
      <c r="G7" s="9" t="s">
        <v>12</v>
      </c>
      <c r="H7" s="165"/>
      <c r="I7" s="166"/>
      <c r="J7" s="166"/>
      <c r="K7" s="167"/>
      <c r="L7" s="10"/>
    </row>
    <row r="8" spans="1:12" ht="19.5" customHeight="1">
      <c r="A8" s="11"/>
      <c r="B8" s="3"/>
      <c r="C8" s="163" t="s">
        <v>13</v>
      </c>
      <c r="D8" s="164"/>
      <c r="E8" s="164"/>
      <c r="F8" s="8" t="str">
        <f>CONCATENATE(一次側1,"/",二次側1)</f>
        <v>150/5</v>
      </c>
      <c r="G8" s="9" t="s">
        <v>14</v>
      </c>
      <c r="H8" s="165" t="str">
        <f>CONCATENATE("="," ",一次側1," / ",二次側1," ="," ",一次側1/二次側1)</f>
        <v>= 150 / 5 = 30</v>
      </c>
      <c r="I8" s="166"/>
      <c r="J8" s="166"/>
      <c r="K8" s="167"/>
      <c r="L8" s="10"/>
    </row>
    <row r="9" spans="1:12" ht="19.5" customHeight="1">
      <c r="A9" s="11"/>
      <c r="B9" s="3"/>
      <c r="C9" s="163" t="s">
        <v>15</v>
      </c>
      <c r="D9" s="164"/>
      <c r="E9" s="164"/>
      <c r="F9" s="8" t="str">
        <f>CONCATENATE(_Tc1,"In")</f>
        <v>0.68In</v>
      </c>
      <c r="G9" s="12" t="str">
        <f>CONCATENATE("=",_Tc1*二次側1,"A")</f>
        <v>=3.4A</v>
      </c>
      <c r="H9" s="173"/>
      <c r="I9" s="174"/>
      <c r="J9" s="174"/>
      <c r="K9" s="175"/>
      <c r="L9" s="13"/>
    </row>
    <row r="10" spans="1:12" ht="19.5" customHeight="1">
      <c r="A10" s="11"/>
      <c r="B10" s="3"/>
      <c r="C10" s="163" t="s">
        <v>16</v>
      </c>
      <c r="D10" s="164"/>
      <c r="E10" s="164"/>
      <c r="F10" s="8" t="str">
        <f>CONCATENATE(ROUND(_Ts1/一次側1,2),"In")</f>
        <v>0.21In</v>
      </c>
      <c r="G10" s="12" t="str">
        <f>CONCATENATE("=",ROUND(_Ts1*二次側1/一次側1,2),"A")</f>
        <v>=1.07A</v>
      </c>
      <c r="H10" s="165"/>
      <c r="I10" s="166"/>
      <c r="J10" s="166"/>
      <c r="K10" s="167"/>
      <c r="L10" s="10"/>
    </row>
    <row r="11" spans="1:12" ht="19.5" customHeight="1">
      <c r="A11" s="3"/>
      <c r="B11" s="3"/>
      <c r="C11" s="163" t="s">
        <v>17</v>
      </c>
      <c r="D11" s="164"/>
      <c r="E11" s="164"/>
      <c r="F11" s="8">
        <f>Isone</f>
        <v>32</v>
      </c>
      <c r="G11" s="9" t="s">
        <v>18</v>
      </c>
      <c r="H11" s="165" t="str">
        <f>CONCATENATE("= ",_Ts1/一次側1," x ",一次側1," = ",Isone)</f>
        <v>= 0.213333333333333 x 150 = 32</v>
      </c>
      <c r="I11" s="166"/>
      <c r="J11" s="166"/>
      <c r="K11" s="167"/>
      <c r="L11" s="10"/>
    </row>
    <row r="12" spans="1:12" ht="19.5" customHeight="1">
      <c r="A12" s="3"/>
      <c r="B12" s="3"/>
      <c r="C12" s="163" t="s">
        <v>19</v>
      </c>
      <c r="D12" s="164"/>
      <c r="E12" s="164"/>
      <c r="F12" s="8">
        <f>Lever1</f>
        <v>0.1</v>
      </c>
      <c r="G12" s="9" t="s">
        <v>14</v>
      </c>
      <c r="H12" s="165" t="str">
        <f>CONCATENATE("曲線 Lever = ",Lever1)</f>
        <v>曲線 Lever = 0.1</v>
      </c>
      <c r="I12" s="166"/>
      <c r="J12" s="166"/>
      <c r="K12" s="167"/>
      <c r="L12" s="10"/>
    </row>
    <row r="13" spans="1:12" ht="19.5" customHeight="1">
      <c r="A13" s="3"/>
      <c r="B13" s="3"/>
      <c r="C13" s="163" t="s">
        <v>20</v>
      </c>
      <c r="D13" s="164"/>
      <c r="E13" s="164"/>
      <c r="F13" s="8" t="str">
        <f>CONCATENATE(ROUND(F15/(一次側1/二次側1),2),"A")</f>
        <v>35A</v>
      </c>
      <c r="G13" s="15"/>
      <c r="H13" s="168"/>
      <c r="I13" s="169"/>
      <c r="J13" s="169"/>
      <c r="K13" s="170"/>
      <c r="L13" s="10"/>
    </row>
    <row r="14" spans="1:12" ht="19.5" customHeight="1">
      <c r="A14" s="3"/>
      <c r="B14" s="3"/>
      <c r="C14" s="171" t="s">
        <v>21</v>
      </c>
      <c r="D14" s="172"/>
      <c r="E14" s="172"/>
      <c r="F14" s="68">
        <f>1.2*Isone</f>
        <v>38.4</v>
      </c>
      <c r="G14" s="69" t="s">
        <v>18</v>
      </c>
      <c r="H14" s="168" t="str">
        <f>CONCATENATE("= 120% Is = ",F14,"A")</f>
        <v>= 120% Is = 38.4A</v>
      </c>
      <c r="I14" s="169"/>
      <c r="J14" s="169"/>
      <c r="K14" s="170"/>
      <c r="L14" s="10"/>
    </row>
    <row r="15" spans="1:12" ht="19.5" customHeight="1">
      <c r="A15" s="3"/>
      <c r="B15" s="3"/>
      <c r="C15" s="158" t="s">
        <v>22</v>
      </c>
      <c r="D15" s="159"/>
      <c r="E15" s="159"/>
      <c r="F15" s="29">
        <f>IF(輸入瞬跳電流1=" ",10*Isone,輸入瞬跳電流1)</f>
        <v>1050</v>
      </c>
      <c r="G15" s="40" t="s">
        <v>18</v>
      </c>
      <c r="H15" s="160" t="str">
        <f>CONCATENATE("基準值=10倍Is=",10*Isone,";設定值=",輸入瞬跳電流1)</f>
        <v>基準值=10倍Is=320;設定值=1050</v>
      </c>
      <c r="I15" s="161"/>
      <c r="J15" s="161"/>
      <c r="K15" s="162"/>
      <c r="L15" s="17"/>
    </row>
    <row r="16" spans="1:12" ht="19.5" customHeight="1">
      <c r="A16" s="3"/>
      <c r="B16" s="3"/>
      <c r="C16" s="147" t="s">
        <v>23</v>
      </c>
      <c r="D16" s="148"/>
      <c r="E16" s="148"/>
      <c r="F16" s="149" t="str">
        <f>协调曲线图!S9</f>
        <v>SEPAM S20</v>
      </c>
      <c r="G16" s="149"/>
      <c r="H16" s="149"/>
      <c r="I16" s="149"/>
      <c r="J16" s="149"/>
      <c r="K16" s="150"/>
      <c r="L16" s="10"/>
    </row>
    <row r="17" spans="1:12" ht="19.5" customHeight="1">
      <c r="A17" s="3"/>
      <c r="B17" s="3"/>
      <c r="C17" s="18" t="s">
        <v>24</v>
      </c>
      <c r="D17" s="19"/>
      <c r="E17" s="20" t="str">
        <f>CONCATENATE(一次側1,"/",二次側1)</f>
        <v>150/5</v>
      </c>
      <c r="F17" s="19" t="s">
        <v>25</v>
      </c>
      <c r="G17" s="19"/>
      <c r="H17" s="20" t="str">
        <f>CONCATENATE(一次側1,"A")</f>
        <v>150A</v>
      </c>
      <c r="I17" s="19" t="s">
        <v>26</v>
      </c>
      <c r="J17" s="19"/>
      <c r="K17" s="21">
        <f>Lever1</f>
        <v>0.1</v>
      </c>
      <c r="L17" s="22"/>
    </row>
    <row r="18" spans="1:12" ht="19.5" customHeight="1">
      <c r="A18" s="3"/>
      <c r="B18" s="3"/>
      <c r="C18" s="18" t="s">
        <v>27</v>
      </c>
      <c r="D18" s="19"/>
      <c r="E18" s="23" t="str">
        <f>CONCATENATE(F10,G10)</f>
        <v>0.21In=1.07A</v>
      </c>
      <c r="F18" s="19" t="s">
        <v>28</v>
      </c>
      <c r="G18" s="19"/>
      <c r="H18" s="20" t="str">
        <f>CONCATENATE(Isone,"A")</f>
        <v>32A</v>
      </c>
      <c r="I18" s="19" t="s">
        <v>29</v>
      </c>
      <c r="J18" s="19"/>
      <c r="K18" s="24" t="str">
        <f>协调曲线图!S7</f>
        <v>SIT</v>
      </c>
      <c r="L18" s="8"/>
    </row>
    <row r="19" spans="1:12" ht="19.5" customHeight="1">
      <c r="A19" s="3"/>
      <c r="B19" s="3"/>
      <c r="C19" s="25" t="s">
        <v>126</v>
      </c>
      <c r="D19" s="26"/>
      <c r="E19" s="27" t="str">
        <f>F13</f>
        <v>35A</v>
      </c>
      <c r="F19" s="26" t="s">
        <v>30</v>
      </c>
      <c r="G19" s="26"/>
      <c r="H19" s="27" t="str">
        <f>CONCATENATE(F15,"A")</f>
        <v>1050A</v>
      </c>
      <c r="I19" s="26"/>
      <c r="J19" s="26"/>
      <c r="K19" s="28"/>
      <c r="L19" s="3"/>
    </row>
    <row r="20" spans="1:12" ht="19.5" customHeight="1">
      <c r="A20" s="3"/>
      <c r="B20" s="3"/>
      <c r="C20" s="151" t="s">
        <v>31</v>
      </c>
      <c r="D20" s="117" t="s">
        <v>32</v>
      </c>
      <c r="E20" s="153"/>
      <c r="F20" s="153"/>
      <c r="G20" s="118"/>
      <c r="H20" s="154" t="s">
        <v>33</v>
      </c>
      <c r="I20" s="127"/>
      <c r="J20" s="127"/>
      <c r="K20" s="155"/>
      <c r="L20" s="8"/>
    </row>
    <row r="21" spans="1:12" ht="19.5" customHeight="1">
      <c r="A21" s="3"/>
      <c r="B21" s="3"/>
      <c r="C21" s="152"/>
      <c r="D21" s="117" t="s">
        <v>34</v>
      </c>
      <c r="E21" s="118"/>
      <c r="F21" s="110" t="s">
        <v>35</v>
      </c>
      <c r="G21" s="118"/>
      <c r="H21" s="156"/>
      <c r="I21" s="124"/>
      <c r="J21" s="124"/>
      <c r="K21" s="157"/>
      <c r="L21" s="8"/>
    </row>
    <row r="22" spans="1:12" ht="19.5" customHeight="1">
      <c r="A22" s="30" t="s">
        <v>14</v>
      </c>
      <c r="B22" s="8"/>
      <c r="C22" s="31">
        <v>2</v>
      </c>
      <c r="D22" s="134">
        <f t="shared" ref="D22:D31" si="0">F22/(covb1/covt1)</f>
        <v>64</v>
      </c>
      <c r="E22" s="135"/>
      <c r="F22" s="136">
        <f t="shared" ref="F22:F30" si="1">Isone*$C22</f>
        <v>64</v>
      </c>
      <c r="G22" s="137"/>
      <c r="H22" s="138">
        <f>曲線Lever計算!B9</f>
        <v>0.33767767744265559</v>
      </c>
      <c r="I22" s="139"/>
      <c r="J22" s="139"/>
      <c r="K22" s="140"/>
      <c r="L22" s="32"/>
    </row>
    <row r="23" spans="1:12" ht="19.5" customHeight="1">
      <c r="B23" s="8"/>
      <c r="C23" s="55">
        <v>3</v>
      </c>
      <c r="D23" s="134">
        <f t="shared" si="0"/>
        <v>96</v>
      </c>
      <c r="E23" s="135"/>
      <c r="F23" s="136">
        <f t="shared" si="1"/>
        <v>96</v>
      </c>
      <c r="G23" s="137"/>
      <c r="H23" s="138">
        <f>曲線Lever計算!B10</f>
        <v>0.21218622650480146</v>
      </c>
      <c r="I23" s="139"/>
      <c r="J23" s="139"/>
      <c r="K23" s="140"/>
      <c r="L23" s="32"/>
    </row>
    <row r="24" spans="1:12" ht="19.5" customHeight="1">
      <c r="B24" s="8"/>
      <c r="C24" s="55">
        <v>4</v>
      </c>
      <c r="D24" s="134">
        <f t="shared" si="0"/>
        <v>128</v>
      </c>
      <c r="E24" s="135"/>
      <c r="F24" s="136">
        <f t="shared" si="1"/>
        <v>128</v>
      </c>
      <c r="G24" s="137"/>
      <c r="H24" s="138">
        <f>曲線Lever計算!B11</f>
        <v>0.16766855581317835</v>
      </c>
      <c r="I24" s="139"/>
      <c r="J24" s="139"/>
      <c r="K24" s="140"/>
      <c r="L24" s="32"/>
    </row>
    <row r="25" spans="1:12" ht="19.5" customHeight="1">
      <c r="B25" s="33"/>
      <c r="C25" s="56">
        <v>5</v>
      </c>
      <c r="D25" s="134">
        <f t="shared" si="0"/>
        <v>160</v>
      </c>
      <c r="E25" s="135"/>
      <c r="F25" s="136">
        <f t="shared" si="1"/>
        <v>160</v>
      </c>
      <c r="G25" s="137"/>
      <c r="H25" s="138">
        <f>曲線Lever計算!B12</f>
        <v>0.14409831888704963</v>
      </c>
      <c r="I25" s="139"/>
      <c r="J25" s="139"/>
      <c r="K25" s="140"/>
      <c r="L25" s="32"/>
    </row>
    <row r="26" spans="1:12" ht="19.5" customHeight="1">
      <c r="B26" s="33"/>
      <c r="C26" s="56">
        <v>6</v>
      </c>
      <c r="D26" s="134">
        <f t="shared" si="0"/>
        <v>192</v>
      </c>
      <c r="E26" s="135"/>
      <c r="F26" s="136">
        <f t="shared" si="1"/>
        <v>192</v>
      </c>
      <c r="G26" s="137"/>
      <c r="H26" s="138">
        <f>曲線Lever計算!B13</f>
        <v>0.12919839912863662</v>
      </c>
      <c r="I26" s="139"/>
      <c r="J26" s="139"/>
      <c r="K26" s="140"/>
      <c r="L26" s="32"/>
    </row>
    <row r="27" spans="1:12" ht="19.5" customHeight="1">
      <c r="B27" s="33"/>
      <c r="C27" s="56">
        <v>7</v>
      </c>
      <c r="D27" s="134">
        <f t="shared" si="0"/>
        <v>224</v>
      </c>
      <c r="E27" s="135"/>
      <c r="F27" s="136">
        <f t="shared" si="1"/>
        <v>224</v>
      </c>
      <c r="G27" s="137"/>
      <c r="H27" s="138">
        <f>曲線Lever計算!B14</f>
        <v>0.11877920642519486</v>
      </c>
      <c r="I27" s="139"/>
      <c r="J27" s="139"/>
      <c r="K27" s="140"/>
      <c r="L27" s="32"/>
    </row>
    <row r="28" spans="1:12" ht="19.5" customHeight="1">
      <c r="B28" s="33"/>
      <c r="C28" s="56">
        <v>8</v>
      </c>
      <c r="D28" s="134">
        <f t="shared" si="0"/>
        <v>256</v>
      </c>
      <c r="E28" s="135"/>
      <c r="F28" s="136">
        <f t="shared" si="1"/>
        <v>256</v>
      </c>
      <c r="G28" s="137"/>
      <c r="H28" s="138">
        <f>曲線Lever計算!B15</f>
        <v>0.11100247871315978</v>
      </c>
      <c r="I28" s="139"/>
      <c r="J28" s="139"/>
      <c r="K28" s="140"/>
      <c r="L28" s="32"/>
    </row>
    <row r="29" spans="1:12" ht="19.5" customHeight="1">
      <c r="B29" s="33"/>
      <c r="C29" s="56">
        <v>9</v>
      </c>
      <c r="D29" s="134">
        <f t="shared" si="0"/>
        <v>288</v>
      </c>
      <c r="E29" s="135"/>
      <c r="F29" s="136">
        <f t="shared" si="1"/>
        <v>288</v>
      </c>
      <c r="G29" s="137"/>
      <c r="H29" s="138">
        <f>曲線Lever計算!B16</f>
        <v>0.10492760816257429</v>
      </c>
      <c r="I29" s="139"/>
      <c r="J29" s="139"/>
      <c r="K29" s="140"/>
      <c r="L29" s="32"/>
    </row>
    <row r="30" spans="1:12" ht="19.5" customHeight="1">
      <c r="B30" s="33"/>
      <c r="C30" s="56">
        <v>10</v>
      </c>
      <c r="D30" s="134">
        <f t="shared" si="0"/>
        <v>320</v>
      </c>
      <c r="E30" s="135"/>
      <c r="F30" s="136">
        <f t="shared" si="1"/>
        <v>320</v>
      </c>
      <c r="G30" s="137"/>
      <c r="H30" s="138">
        <f>曲線Lever計算!B17</f>
        <v>0.10002015569657964</v>
      </c>
      <c r="I30" s="139"/>
      <c r="J30" s="139"/>
      <c r="K30" s="140"/>
      <c r="L30" s="32"/>
    </row>
    <row r="31" spans="1:12" ht="19.5" customHeight="1" thickBot="1">
      <c r="B31" s="8"/>
      <c r="C31" s="34" t="s">
        <v>36</v>
      </c>
      <c r="D31" s="141">
        <f t="shared" si="0"/>
        <v>1050</v>
      </c>
      <c r="E31" s="142"/>
      <c r="F31" s="141">
        <f>F15</f>
        <v>1050</v>
      </c>
      <c r="G31" s="143"/>
      <c r="H31" s="144">
        <f>IF(瞬跳時間1=" ",0.025,瞬跳時間1)</f>
        <v>0.05</v>
      </c>
      <c r="I31" s="145"/>
      <c r="J31" s="145"/>
      <c r="K31" s="146"/>
      <c r="L31" s="32"/>
    </row>
    <row r="32" spans="1:12" ht="19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ht="19.5" customHeight="1" thickBot="1">
      <c r="A33" s="3"/>
      <c r="B33" s="3"/>
      <c r="C33" s="128" t="s">
        <v>37</v>
      </c>
      <c r="D33" s="128"/>
      <c r="E33" s="128"/>
      <c r="F33" s="3"/>
      <c r="G33" s="3"/>
      <c r="H33" s="3"/>
      <c r="I33" s="3"/>
      <c r="J33" s="3"/>
      <c r="K33" s="3"/>
      <c r="L33" s="3"/>
    </row>
    <row r="34" spans="1:12" ht="19.5" customHeight="1">
      <c r="A34" s="3"/>
      <c r="B34" s="3"/>
      <c r="C34" s="35" t="s">
        <v>38</v>
      </c>
      <c r="D34" s="129" t="str">
        <f>F16</f>
        <v>SEPAM S20</v>
      </c>
      <c r="E34" s="130"/>
      <c r="F34" s="131" t="s">
        <v>39</v>
      </c>
      <c r="G34" s="132"/>
      <c r="H34" s="119" t="s">
        <v>40</v>
      </c>
      <c r="I34" s="124" t="s">
        <v>41</v>
      </c>
      <c r="J34" s="124"/>
      <c r="K34" s="124"/>
      <c r="L34" s="8"/>
    </row>
    <row r="35" spans="1:12" ht="19.5" customHeight="1">
      <c r="A35" s="3"/>
      <c r="B35" s="3"/>
      <c r="C35" s="31" t="s">
        <v>42</v>
      </c>
      <c r="D35" s="125" t="str">
        <f>CONCATENATE(一次側1,"A")</f>
        <v>150A</v>
      </c>
      <c r="E35" s="126"/>
      <c r="F35" s="110" t="s">
        <v>43</v>
      </c>
      <c r="G35" s="111"/>
      <c r="H35" s="119"/>
      <c r="I35" s="127" t="s">
        <v>44</v>
      </c>
      <c r="J35" s="127"/>
      <c r="K35" s="127"/>
      <c r="L35" s="8"/>
    </row>
    <row r="36" spans="1:12" ht="19.5" customHeight="1">
      <c r="A36" s="3" t="s">
        <v>14</v>
      </c>
      <c r="B36" s="3"/>
      <c r="C36" s="31" t="s">
        <v>45</v>
      </c>
      <c r="D36" s="117" t="str">
        <f>IF(AND(0.1&lt;=Isone/一次側1,Isone/一次側1&lt;=2.4),CONCATENATE(Isone,"A"),"ERROR!")</f>
        <v>32A</v>
      </c>
      <c r="E36" s="118"/>
      <c r="F36" s="110" t="s">
        <v>46</v>
      </c>
      <c r="G36" s="111"/>
      <c r="H36" s="70" t="s">
        <v>47</v>
      </c>
      <c r="I36" s="133" t="s">
        <v>48</v>
      </c>
      <c r="J36" s="133"/>
      <c r="K36" s="133"/>
      <c r="L36" s="8"/>
    </row>
    <row r="37" spans="1:12" ht="19.5" customHeight="1">
      <c r="A37" s="3"/>
      <c r="B37" s="3"/>
      <c r="C37" s="31" t="s">
        <v>49</v>
      </c>
      <c r="D37" s="108">
        <f>Lever1</f>
        <v>0.1</v>
      </c>
      <c r="E37" s="109"/>
      <c r="F37" s="110" t="s">
        <v>50</v>
      </c>
      <c r="G37" s="111"/>
      <c r="H37" s="36" t="s">
        <v>51</v>
      </c>
      <c r="I37" s="112" t="s">
        <v>52</v>
      </c>
      <c r="J37" s="112"/>
      <c r="K37" s="112"/>
      <c r="L37" s="8"/>
    </row>
    <row r="38" spans="1:12" ht="19.5" customHeight="1">
      <c r="A38" s="3"/>
      <c r="B38" s="3"/>
      <c r="C38" s="31" t="s">
        <v>53</v>
      </c>
      <c r="D38" s="117" t="str">
        <f>IF(AND(0.1&lt;=F15/一次側1,F15/一次側1&lt;=24),CONCATENATE(F15,"A"),"ERROR!")</f>
        <v>1050A</v>
      </c>
      <c r="E38" s="118"/>
      <c r="F38" s="110" t="s">
        <v>54</v>
      </c>
      <c r="G38" s="111"/>
      <c r="H38" s="119" t="s">
        <v>55</v>
      </c>
      <c r="I38" s="29" t="s">
        <v>53</v>
      </c>
      <c r="J38" s="112" t="s">
        <v>14</v>
      </c>
      <c r="K38" s="8"/>
      <c r="L38" s="8"/>
    </row>
    <row r="39" spans="1:12" ht="19.5" customHeight="1">
      <c r="A39" s="3"/>
      <c r="B39" s="3"/>
      <c r="C39" s="31" t="s">
        <v>56</v>
      </c>
      <c r="D39" s="120">
        <f>瞬跳時間1</f>
        <v>0.05</v>
      </c>
      <c r="E39" s="121"/>
      <c r="F39" s="122" t="s">
        <v>130</v>
      </c>
      <c r="G39" s="123"/>
      <c r="H39" s="119"/>
      <c r="I39" s="8" t="s">
        <v>57</v>
      </c>
      <c r="J39" s="112"/>
      <c r="K39" s="8"/>
      <c r="L39" s="8"/>
    </row>
    <row r="40" spans="1:12" ht="19.5" customHeight="1" thickBot="1">
      <c r="A40" s="3"/>
      <c r="B40" s="3"/>
      <c r="C40" s="37" t="s">
        <v>58</v>
      </c>
      <c r="D40" s="113" t="str">
        <f>K18</f>
        <v>SIT</v>
      </c>
      <c r="E40" s="114"/>
      <c r="F40" s="115"/>
      <c r="G40" s="116"/>
      <c r="H40" s="3"/>
      <c r="I40" s="8"/>
      <c r="J40" s="8"/>
      <c r="K40" s="8"/>
      <c r="L40" s="8"/>
    </row>
    <row r="41" spans="1:12" ht="19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ht="19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19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ht="19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9.5" customHeight="1">
      <c r="A45" s="1" t="s">
        <v>113</v>
      </c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9.5" customHeight="1" thickBot="1">
      <c r="A46" s="3"/>
      <c r="B46" s="3"/>
      <c r="C46" s="4" t="s">
        <v>4</v>
      </c>
      <c r="D46" s="4"/>
      <c r="E46" s="4"/>
      <c r="F46" s="4"/>
      <c r="G46" s="3"/>
      <c r="H46" s="3"/>
      <c r="I46" s="3"/>
      <c r="J46" s="3"/>
      <c r="K46" s="3"/>
      <c r="L46" s="3"/>
    </row>
    <row r="47" spans="1:12" ht="19.5" customHeight="1">
      <c r="A47" s="3"/>
      <c r="B47" s="3"/>
      <c r="C47" s="5" t="s">
        <v>5</v>
      </c>
      <c r="D47" s="6"/>
      <c r="E47" s="176" t="str">
        <f>coname2</f>
        <v>6kvC1变母联</v>
      </c>
      <c r="F47" s="176"/>
      <c r="G47" s="176"/>
      <c r="H47" s="6"/>
      <c r="I47" s="6"/>
      <c r="J47" s="6"/>
      <c r="K47" s="7"/>
      <c r="L47" s="3"/>
    </row>
    <row r="48" spans="1:12" ht="19.5" customHeight="1">
      <c r="A48" s="3"/>
      <c r="B48" s="3"/>
      <c r="C48" s="177" t="s">
        <v>6</v>
      </c>
      <c r="D48" s="178"/>
      <c r="E48" s="178"/>
      <c r="F48" s="8">
        <f>cokva2</f>
        <v>2500</v>
      </c>
      <c r="G48" s="9" t="s">
        <v>7</v>
      </c>
      <c r="H48" s="179"/>
      <c r="I48" s="178"/>
      <c r="J48" s="178"/>
      <c r="K48" s="180"/>
      <c r="L48" s="10"/>
    </row>
    <row r="49" spans="1:12" ht="19.5" customHeight="1">
      <c r="A49" s="3"/>
      <c r="B49" s="3"/>
      <c r="C49" s="163" t="s">
        <v>8</v>
      </c>
      <c r="D49" s="164"/>
      <c r="E49" s="164"/>
      <c r="F49" s="8">
        <f>covb2</f>
        <v>11.4</v>
      </c>
      <c r="G49" s="9" t="s">
        <v>9</v>
      </c>
      <c r="H49" s="165"/>
      <c r="I49" s="166"/>
      <c r="J49" s="166"/>
      <c r="K49" s="167"/>
      <c r="L49" s="10"/>
    </row>
    <row r="50" spans="1:12" ht="19.5" customHeight="1">
      <c r="A50" s="3"/>
      <c r="B50" s="3"/>
      <c r="C50" s="163" t="s">
        <v>10</v>
      </c>
      <c r="D50" s="164"/>
      <c r="E50" s="164"/>
      <c r="F50" s="8">
        <f>covt2</f>
        <v>11.4</v>
      </c>
      <c r="G50" s="9" t="s">
        <v>9</v>
      </c>
      <c r="H50" s="165"/>
      <c r="I50" s="166"/>
      <c r="J50" s="166"/>
      <c r="K50" s="167"/>
      <c r="L50" s="10"/>
    </row>
    <row r="51" spans="1:12" ht="19.5" customHeight="1">
      <c r="A51" s="3"/>
      <c r="B51" s="3"/>
      <c r="C51" s="163" t="s">
        <v>11</v>
      </c>
      <c r="D51" s="164"/>
      <c r="E51" s="164"/>
      <c r="F51" s="8">
        <f>L百分2</f>
        <v>100</v>
      </c>
      <c r="G51" s="9" t="s">
        <v>12</v>
      </c>
      <c r="H51" s="165"/>
      <c r="I51" s="166"/>
      <c r="J51" s="166"/>
      <c r="K51" s="167"/>
      <c r="L51" s="10"/>
    </row>
    <row r="52" spans="1:12" ht="19.5" customHeight="1">
      <c r="A52" s="11"/>
      <c r="B52" s="3"/>
      <c r="C52" s="163" t="s">
        <v>13</v>
      </c>
      <c r="D52" s="164"/>
      <c r="E52" s="164"/>
      <c r="F52" s="8" t="str">
        <f>CONCATENATE(一次側2,"/",二次側2)</f>
        <v>150/5</v>
      </c>
      <c r="G52" s="9" t="s">
        <v>14</v>
      </c>
      <c r="H52" s="165" t="str">
        <f>CONCATENATE("="," ",一次側2," / ",二次側2," ="," ",一次側2/二次側2)</f>
        <v>= 150 / 5 = 30</v>
      </c>
      <c r="I52" s="166"/>
      <c r="J52" s="166"/>
      <c r="K52" s="167"/>
      <c r="L52" s="10"/>
    </row>
    <row r="53" spans="1:12" ht="19.5" customHeight="1">
      <c r="A53" s="11"/>
      <c r="B53" s="3"/>
      <c r="C53" s="163" t="s">
        <v>15</v>
      </c>
      <c r="D53" s="164"/>
      <c r="E53" s="164"/>
      <c r="F53" s="8" t="str">
        <f>CONCATENATE(_Tc2,"In")</f>
        <v>0.84In</v>
      </c>
      <c r="G53" s="12" t="str">
        <f>CONCATENATE("=",_Tc2*二次側2,"A")</f>
        <v>=4.2A</v>
      </c>
      <c r="H53" s="173"/>
      <c r="I53" s="174"/>
      <c r="J53" s="174"/>
      <c r="K53" s="175"/>
      <c r="L53" s="13"/>
    </row>
    <row r="54" spans="1:12" ht="19.5" customHeight="1">
      <c r="A54" s="11"/>
      <c r="B54" s="3"/>
      <c r="C54" s="163" t="s">
        <v>16</v>
      </c>
      <c r="D54" s="164"/>
      <c r="E54" s="164"/>
      <c r="F54" s="8" t="str">
        <f>CONCATENATE(ROUND(_Ts2/一次側2,2),"In")</f>
        <v>0.4In</v>
      </c>
      <c r="G54" s="12" t="str">
        <f>CONCATENATE("=",ROUND(_Ts2*二次側2/一次側2,2),"A")</f>
        <v>=2A</v>
      </c>
      <c r="H54" s="165"/>
      <c r="I54" s="166"/>
      <c r="J54" s="166"/>
      <c r="K54" s="167"/>
      <c r="L54" s="10"/>
    </row>
    <row r="55" spans="1:12" ht="19.5" customHeight="1">
      <c r="A55" s="3"/>
      <c r="B55" s="3"/>
      <c r="C55" s="163" t="s">
        <v>17</v>
      </c>
      <c r="D55" s="164"/>
      <c r="E55" s="164"/>
      <c r="F55" s="8">
        <f>Istwo</f>
        <v>60</v>
      </c>
      <c r="G55" s="9" t="s">
        <v>18</v>
      </c>
      <c r="H55" s="165" t="str">
        <f>CONCATENATE("= ",_Ts2/一次側2," x ",一次側2," = ",Istwo)</f>
        <v>= 0.4 x 150 = 60</v>
      </c>
      <c r="I55" s="166"/>
      <c r="J55" s="166"/>
      <c r="K55" s="167"/>
      <c r="L55" s="10"/>
    </row>
    <row r="56" spans="1:12" ht="19.5" customHeight="1">
      <c r="A56" s="3"/>
      <c r="B56" s="3"/>
      <c r="C56" s="163" t="s">
        <v>19</v>
      </c>
      <c r="D56" s="164"/>
      <c r="E56" s="164"/>
      <c r="F56" s="8">
        <f>Lever2</f>
        <v>0.1</v>
      </c>
      <c r="G56" s="9" t="s">
        <v>14</v>
      </c>
      <c r="H56" s="165" t="str">
        <f>CONCATENATE("曲線 Lever = ",Lever2)</f>
        <v>曲線 Lever = 0.1</v>
      </c>
      <c r="I56" s="166"/>
      <c r="J56" s="166"/>
      <c r="K56" s="167"/>
      <c r="L56" s="10"/>
    </row>
    <row r="57" spans="1:12" ht="19.5" customHeight="1">
      <c r="A57" s="3"/>
      <c r="B57" s="3"/>
      <c r="C57" s="163" t="s">
        <v>20</v>
      </c>
      <c r="D57" s="164"/>
      <c r="E57" s="164"/>
      <c r="F57" s="8" t="str">
        <f>CONCATENATE(ROUND(F59/(一次側2/二次側2),2),"A")</f>
        <v>50A</v>
      </c>
      <c r="G57" s="15"/>
      <c r="H57" s="168"/>
      <c r="I57" s="169"/>
      <c r="J57" s="169"/>
      <c r="K57" s="170"/>
      <c r="L57" s="10"/>
    </row>
    <row r="58" spans="1:12" ht="19.5" customHeight="1">
      <c r="A58" s="3"/>
      <c r="B58" s="3"/>
      <c r="C58" s="171" t="s">
        <v>21</v>
      </c>
      <c r="D58" s="172"/>
      <c r="E58" s="172"/>
      <c r="F58" s="68">
        <f>1.2*Istwo</f>
        <v>72</v>
      </c>
      <c r="G58" s="69" t="s">
        <v>18</v>
      </c>
      <c r="H58" s="168" t="str">
        <f>CONCATENATE("= 120% Is = ",F58,"A")</f>
        <v>= 120% Is = 72A</v>
      </c>
      <c r="I58" s="169"/>
      <c r="J58" s="169"/>
      <c r="K58" s="170"/>
      <c r="L58" s="10"/>
    </row>
    <row r="59" spans="1:12" ht="19.5" customHeight="1">
      <c r="A59" s="3"/>
      <c r="B59" s="3"/>
      <c r="C59" s="158" t="s">
        <v>22</v>
      </c>
      <c r="D59" s="159"/>
      <c r="E59" s="159"/>
      <c r="F59" s="29">
        <f>IF(輸入瞬跳電流2=" ",10*Istwo,輸入瞬跳電流2)</f>
        <v>1500</v>
      </c>
      <c r="G59" s="40" t="s">
        <v>18</v>
      </c>
      <c r="H59" s="160" t="str">
        <f>CONCATENATE("基準值=10倍Is=",10*Istwo,";設定值=",輸入瞬跳電流2)</f>
        <v>基準值=10倍Is=600;設定值=1500</v>
      </c>
      <c r="I59" s="161"/>
      <c r="J59" s="161"/>
      <c r="K59" s="162"/>
      <c r="L59" s="17"/>
    </row>
    <row r="60" spans="1:12" ht="19.5" customHeight="1">
      <c r="A60" s="3"/>
      <c r="B60" s="3"/>
      <c r="C60" s="147" t="s">
        <v>23</v>
      </c>
      <c r="D60" s="148"/>
      <c r="E60" s="148"/>
      <c r="F60" s="149" t="str">
        <f>协调曲线图!S16</f>
        <v>SEPAM S40</v>
      </c>
      <c r="G60" s="149"/>
      <c r="H60" s="149"/>
      <c r="I60" s="149"/>
      <c r="J60" s="149"/>
      <c r="K60" s="150"/>
      <c r="L60" s="10"/>
    </row>
    <row r="61" spans="1:12" ht="19.5" customHeight="1">
      <c r="A61" s="3"/>
      <c r="B61" s="3"/>
      <c r="C61" s="18" t="s">
        <v>24</v>
      </c>
      <c r="D61" s="19"/>
      <c r="E61" s="20" t="str">
        <f>CONCATENATE(一次側2,"/",二次側2)</f>
        <v>150/5</v>
      </c>
      <c r="F61" s="19" t="s">
        <v>25</v>
      </c>
      <c r="G61" s="19"/>
      <c r="H61" s="20" t="str">
        <f>CONCATENATE(一次側2,"A")</f>
        <v>150A</v>
      </c>
      <c r="I61" s="19" t="s">
        <v>26</v>
      </c>
      <c r="J61" s="19"/>
      <c r="K61" s="21">
        <f>Lever2</f>
        <v>0.1</v>
      </c>
      <c r="L61" s="22"/>
    </row>
    <row r="62" spans="1:12" ht="19.5" customHeight="1">
      <c r="A62" s="3"/>
      <c r="B62" s="3"/>
      <c r="C62" s="18" t="s">
        <v>27</v>
      </c>
      <c r="D62" s="19"/>
      <c r="E62" s="23" t="str">
        <f>CONCATENATE(F54,G54)</f>
        <v>0.4In=2A</v>
      </c>
      <c r="F62" s="19" t="s">
        <v>28</v>
      </c>
      <c r="G62" s="19"/>
      <c r="H62" s="20" t="str">
        <f>CONCATENATE(Istwo,"A")</f>
        <v>60A</v>
      </c>
      <c r="I62" s="19" t="s">
        <v>29</v>
      </c>
      <c r="J62" s="19"/>
      <c r="K62" s="24" t="str">
        <f>协调曲线图!S14</f>
        <v>EIT</v>
      </c>
      <c r="L62" s="8"/>
    </row>
    <row r="63" spans="1:12" ht="19.5" customHeight="1">
      <c r="A63" s="3"/>
      <c r="B63" s="3"/>
      <c r="C63" s="25" t="s">
        <v>126</v>
      </c>
      <c r="D63" s="26"/>
      <c r="E63" s="27" t="str">
        <f>F57</f>
        <v>50A</v>
      </c>
      <c r="F63" s="26" t="s">
        <v>30</v>
      </c>
      <c r="G63" s="26"/>
      <c r="H63" s="27" t="str">
        <f>CONCATENATE(F59,"A")</f>
        <v>1500A</v>
      </c>
      <c r="I63" s="26"/>
      <c r="J63" s="26"/>
      <c r="K63" s="28"/>
      <c r="L63" s="3"/>
    </row>
    <row r="64" spans="1:12" ht="19.5" customHeight="1">
      <c r="A64" s="3"/>
      <c r="B64" s="3"/>
      <c r="C64" s="151" t="s">
        <v>31</v>
      </c>
      <c r="D64" s="117" t="s">
        <v>32</v>
      </c>
      <c r="E64" s="153"/>
      <c r="F64" s="153"/>
      <c r="G64" s="118"/>
      <c r="H64" s="154" t="s">
        <v>33</v>
      </c>
      <c r="I64" s="127"/>
      <c r="J64" s="127"/>
      <c r="K64" s="155"/>
      <c r="L64" s="8"/>
    </row>
    <row r="65" spans="1:12" ht="19.5" customHeight="1">
      <c r="A65" s="3"/>
      <c r="B65" s="3"/>
      <c r="C65" s="152"/>
      <c r="D65" s="117" t="s">
        <v>34</v>
      </c>
      <c r="E65" s="118"/>
      <c r="F65" s="110" t="s">
        <v>35</v>
      </c>
      <c r="G65" s="118"/>
      <c r="H65" s="156"/>
      <c r="I65" s="124"/>
      <c r="J65" s="124"/>
      <c r="K65" s="157"/>
      <c r="L65" s="8"/>
    </row>
    <row r="66" spans="1:12" ht="19.5" customHeight="1">
      <c r="A66" s="30" t="s">
        <v>14</v>
      </c>
      <c r="B66" s="8"/>
      <c r="C66" s="31">
        <v>2</v>
      </c>
      <c r="D66" s="134">
        <f t="shared" ref="D66:D75" si="2">F66/(covb2/covt2)</f>
        <v>120</v>
      </c>
      <c r="E66" s="135"/>
      <c r="F66" s="136">
        <f t="shared" ref="F66:F74" si="3">Istwo*$C66</f>
        <v>120</v>
      </c>
      <c r="G66" s="137"/>
      <c r="H66" s="138">
        <f>曲線Lever計算!G9</f>
        <v>3.3003300330033003</v>
      </c>
      <c r="I66" s="139"/>
      <c r="J66" s="139"/>
      <c r="K66" s="140"/>
      <c r="L66" s="32"/>
    </row>
    <row r="67" spans="1:12" ht="19.5" customHeight="1">
      <c r="B67" s="8"/>
      <c r="C67" s="55">
        <v>3</v>
      </c>
      <c r="D67" s="134">
        <f t="shared" si="2"/>
        <v>180</v>
      </c>
      <c r="E67" s="135"/>
      <c r="F67" s="136">
        <f t="shared" si="3"/>
        <v>180</v>
      </c>
      <c r="G67" s="137"/>
      <c r="H67" s="138">
        <f>曲線Lever計算!G10</f>
        <v>1.2376237623762376</v>
      </c>
      <c r="I67" s="139"/>
      <c r="J67" s="139"/>
      <c r="K67" s="140"/>
      <c r="L67" s="32"/>
    </row>
    <row r="68" spans="1:12" ht="19.5" customHeight="1">
      <c r="B68" s="8"/>
      <c r="C68" s="55">
        <v>4</v>
      </c>
      <c r="D68" s="134">
        <f t="shared" si="2"/>
        <v>240</v>
      </c>
      <c r="E68" s="135"/>
      <c r="F68" s="136">
        <f t="shared" si="3"/>
        <v>240</v>
      </c>
      <c r="G68" s="137"/>
      <c r="H68" s="138">
        <f>曲線Lever計算!G11</f>
        <v>0.66006600660066006</v>
      </c>
      <c r="I68" s="139"/>
      <c r="J68" s="139"/>
      <c r="K68" s="140"/>
      <c r="L68" s="32"/>
    </row>
    <row r="69" spans="1:12" ht="19.5" customHeight="1">
      <c r="B69" s="33"/>
      <c r="C69" s="56">
        <v>5</v>
      </c>
      <c r="D69" s="134">
        <f t="shared" si="2"/>
        <v>300</v>
      </c>
      <c r="E69" s="135"/>
      <c r="F69" s="136">
        <f t="shared" si="3"/>
        <v>300</v>
      </c>
      <c r="G69" s="137"/>
      <c r="H69" s="138">
        <f>曲線Lever計算!G12</f>
        <v>0.41254125412541254</v>
      </c>
      <c r="I69" s="139"/>
      <c r="J69" s="139"/>
      <c r="K69" s="140"/>
      <c r="L69" s="32"/>
    </row>
    <row r="70" spans="1:12" ht="19.5" customHeight="1">
      <c r="B70" s="33"/>
      <c r="C70" s="56">
        <v>6</v>
      </c>
      <c r="D70" s="134">
        <f t="shared" si="2"/>
        <v>360</v>
      </c>
      <c r="E70" s="135"/>
      <c r="F70" s="136">
        <f t="shared" si="3"/>
        <v>360</v>
      </c>
      <c r="G70" s="137"/>
      <c r="H70" s="138">
        <f>曲線Lever計算!G13</f>
        <v>0.28288543140028288</v>
      </c>
      <c r="I70" s="139"/>
      <c r="J70" s="139"/>
      <c r="K70" s="140"/>
      <c r="L70" s="32"/>
    </row>
    <row r="71" spans="1:12" ht="19.5" customHeight="1">
      <c r="B71" s="33"/>
      <c r="C71" s="56">
        <v>7</v>
      </c>
      <c r="D71" s="134">
        <f t="shared" si="2"/>
        <v>420</v>
      </c>
      <c r="E71" s="135"/>
      <c r="F71" s="136">
        <f t="shared" si="3"/>
        <v>420</v>
      </c>
      <c r="G71" s="137"/>
      <c r="H71" s="138">
        <f>曲線Lever計算!G14</f>
        <v>0.25</v>
      </c>
      <c r="I71" s="139"/>
      <c r="J71" s="139"/>
      <c r="K71" s="140"/>
      <c r="L71" s="32"/>
    </row>
    <row r="72" spans="1:12" ht="19.5" customHeight="1">
      <c r="B72" s="33"/>
      <c r="C72" s="56">
        <v>8</v>
      </c>
      <c r="D72" s="134">
        <f t="shared" si="2"/>
        <v>480</v>
      </c>
      <c r="E72" s="135"/>
      <c r="F72" s="136">
        <f t="shared" si="3"/>
        <v>480</v>
      </c>
      <c r="G72" s="137"/>
      <c r="H72" s="138">
        <f>曲線Lever計算!G15</f>
        <v>0.25</v>
      </c>
      <c r="I72" s="139"/>
      <c r="J72" s="139"/>
      <c r="K72" s="140"/>
      <c r="L72" s="32"/>
    </row>
    <row r="73" spans="1:12" ht="19.5" customHeight="1">
      <c r="B73" s="33"/>
      <c r="C73" s="56">
        <v>9</v>
      </c>
      <c r="D73" s="134">
        <f t="shared" si="2"/>
        <v>540</v>
      </c>
      <c r="E73" s="135"/>
      <c r="F73" s="136">
        <f t="shared" si="3"/>
        <v>540</v>
      </c>
      <c r="G73" s="137"/>
      <c r="H73" s="138">
        <f>曲線Lever計算!G16</f>
        <v>0.25</v>
      </c>
      <c r="I73" s="139"/>
      <c r="J73" s="139"/>
      <c r="K73" s="140"/>
      <c r="L73" s="32"/>
    </row>
    <row r="74" spans="1:12" ht="19.5" customHeight="1">
      <c r="B74" s="33"/>
      <c r="C74" s="56">
        <v>10</v>
      </c>
      <c r="D74" s="134">
        <f t="shared" si="2"/>
        <v>600</v>
      </c>
      <c r="E74" s="135"/>
      <c r="F74" s="136">
        <f t="shared" si="3"/>
        <v>600</v>
      </c>
      <c r="G74" s="137"/>
      <c r="H74" s="138">
        <f>曲線Lever計算!G17</f>
        <v>0.25</v>
      </c>
      <c r="I74" s="139"/>
      <c r="J74" s="139"/>
      <c r="K74" s="140"/>
      <c r="L74" s="32"/>
    </row>
    <row r="75" spans="1:12" ht="19.5" customHeight="1" thickBot="1">
      <c r="B75" s="8"/>
      <c r="C75" s="34" t="s">
        <v>36</v>
      </c>
      <c r="D75" s="141">
        <f t="shared" si="2"/>
        <v>1500</v>
      </c>
      <c r="E75" s="142"/>
      <c r="F75" s="141">
        <f>F59</f>
        <v>1500</v>
      </c>
      <c r="G75" s="143"/>
      <c r="H75" s="144">
        <f>IF(瞬跳時間2=" ",0.025,瞬跳時間2)</f>
        <v>0.25</v>
      </c>
      <c r="I75" s="145"/>
      <c r="J75" s="145"/>
      <c r="K75" s="146"/>
      <c r="L75" s="32"/>
    </row>
    <row r="76" spans="1:12" ht="19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19.5" customHeight="1" thickBot="1">
      <c r="A77" s="3"/>
      <c r="B77" s="3"/>
      <c r="C77" s="128" t="s">
        <v>37</v>
      </c>
      <c r="D77" s="128"/>
      <c r="E77" s="128"/>
      <c r="F77" s="3"/>
      <c r="G77" s="3"/>
      <c r="H77" s="3"/>
      <c r="I77" s="3"/>
      <c r="J77" s="3"/>
      <c r="K77" s="3"/>
      <c r="L77" s="3"/>
    </row>
    <row r="78" spans="1:12" ht="19.5" customHeight="1">
      <c r="A78" s="3"/>
      <c r="B78" s="3"/>
      <c r="C78" s="35" t="s">
        <v>38</v>
      </c>
      <c r="D78" s="129" t="str">
        <f>F60</f>
        <v>SEPAM S40</v>
      </c>
      <c r="E78" s="130"/>
      <c r="F78" s="131" t="s">
        <v>39</v>
      </c>
      <c r="G78" s="132"/>
      <c r="H78" s="119" t="s">
        <v>40</v>
      </c>
      <c r="I78" s="124" t="s">
        <v>41</v>
      </c>
      <c r="J78" s="124"/>
      <c r="K78" s="124"/>
      <c r="L78" s="8"/>
    </row>
    <row r="79" spans="1:12" ht="19.5" customHeight="1">
      <c r="A79" s="3"/>
      <c r="B79" s="3"/>
      <c r="C79" s="31" t="s">
        <v>42</v>
      </c>
      <c r="D79" s="125" t="str">
        <f>CONCATENATE(一次側2,"A")</f>
        <v>150A</v>
      </c>
      <c r="E79" s="126"/>
      <c r="F79" s="110" t="s">
        <v>43</v>
      </c>
      <c r="G79" s="111"/>
      <c r="H79" s="119"/>
      <c r="I79" s="127" t="s">
        <v>44</v>
      </c>
      <c r="J79" s="127"/>
      <c r="K79" s="127"/>
      <c r="L79" s="8"/>
    </row>
    <row r="80" spans="1:12" ht="19.5" customHeight="1">
      <c r="A80" s="3" t="s">
        <v>14</v>
      </c>
      <c r="B80" s="3"/>
      <c r="C80" s="31" t="s">
        <v>45</v>
      </c>
      <c r="D80" s="117" t="str">
        <f>IF(AND(0.1&lt;=Istwo/一次側2,Istwo/一次側2&lt;=2.4),CONCATENATE(Istwo,"A"),"ERROR!")</f>
        <v>60A</v>
      </c>
      <c r="E80" s="118"/>
      <c r="F80" s="110" t="s">
        <v>46</v>
      </c>
      <c r="G80" s="111"/>
      <c r="H80" s="70" t="s">
        <v>47</v>
      </c>
      <c r="I80" s="133" t="s">
        <v>48</v>
      </c>
      <c r="J80" s="133"/>
      <c r="K80" s="133"/>
      <c r="L80" s="8"/>
    </row>
    <row r="81" spans="1:12" ht="19.5" customHeight="1">
      <c r="A81" s="3"/>
      <c r="B81" s="3"/>
      <c r="C81" s="31" t="s">
        <v>49</v>
      </c>
      <c r="D81" s="108">
        <f>Lever2</f>
        <v>0.1</v>
      </c>
      <c r="E81" s="109"/>
      <c r="F81" s="110" t="s">
        <v>50</v>
      </c>
      <c r="G81" s="111"/>
      <c r="H81" s="36" t="s">
        <v>51</v>
      </c>
      <c r="I81" s="112" t="s">
        <v>52</v>
      </c>
      <c r="J81" s="112"/>
      <c r="K81" s="112"/>
      <c r="L81" s="8"/>
    </row>
    <row r="82" spans="1:12" ht="19.5" customHeight="1">
      <c r="A82" s="3"/>
      <c r="B82" s="3"/>
      <c r="C82" s="31" t="s">
        <v>53</v>
      </c>
      <c r="D82" s="117" t="str">
        <f>IF(AND(0.1&lt;=F59/一次側2,F59/一次側2&lt;=24),CONCATENATE(F59,"A"),"ERROR!")</f>
        <v>1500A</v>
      </c>
      <c r="E82" s="118"/>
      <c r="F82" s="110" t="s">
        <v>54</v>
      </c>
      <c r="G82" s="111"/>
      <c r="H82" s="119" t="s">
        <v>55</v>
      </c>
      <c r="I82" s="29" t="s">
        <v>53</v>
      </c>
      <c r="J82" s="112" t="s">
        <v>14</v>
      </c>
      <c r="K82" s="8"/>
      <c r="L82" s="8"/>
    </row>
    <row r="83" spans="1:12" ht="19.5" customHeight="1">
      <c r="A83" s="3"/>
      <c r="B83" s="3"/>
      <c r="C83" s="31" t="s">
        <v>56</v>
      </c>
      <c r="D83" s="120">
        <f>瞬跳時間2</f>
        <v>0.25</v>
      </c>
      <c r="E83" s="121"/>
      <c r="F83" s="122" t="s">
        <v>130</v>
      </c>
      <c r="G83" s="123"/>
      <c r="H83" s="119"/>
      <c r="I83" s="8" t="s">
        <v>57</v>
      </c>
      <c r="J83" s="112"/>
      <c r="K83" s="8"/>
      <c r="L83" s="8"/>
    </row>
    <row r="84" spans="1:12" ht="19.5" customHeight="1" thickBot="1">
      <c r="A84" s="3"/>
      <c r="B84" s="3"/>
      <c r="C84" s="37" t="s">
        <v>58</v>
      </c>
      <c r="D84" s="113" t="str">
        <f>K62</f>
        <v>EIT</v>
      </c>
      <c r="E84" s="114"/>
      <c r="F84" s="115"/>
      <c r="G84" s="116"/>
      <c r="H84" s="3"/>
      <c r="I84" s="8"/>
      <c r="J84" s="8"/>
      <c r="K84" s="8"/>
      <c r="L84" s="8"/>
    </row>
    <row r="85" spans="1:12" ht="19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ht="19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19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19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 ht="19.5" customHeight="1">
      <c r="A89" s="1" t="s">
        <v>112</v>
      </c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9.5" customHeight="1" thickBot="1">
      <c r="A90" s="3"/>
      <c r="B90" s="3"/>
      <c r="C90" s="4" t="s">
        <v>4</v>
      </c>
      <c r="D90" s="4"/>
      <c r="E90" s="4"/>
      <c r="F90" s="4"/>
      <c r="G90" s="3"/>
      <c r="H90" s="3"/>
      <c r="I90" s="3"/>
      <c r="J90" s="3"/>
      <c r="K90" s="3"/>
      <c r="L90" s="3"/>
    </row>
    <row r="91" spans="1:12" ht="19.5" customHeight="1">
      <c r="A91" s="3"/>
      <c r="B91" s="3"/>
      <c r="C91" s="5" t="s">
        <v>5</v>
      </c>
      <c r="D91" s="6"/>
      <c r="E91" s="176" t="str">
        <f>coname3</f>
        <v>6kvC1变进线</v>
      </c>
      <c r="F91" s="176"/>
      <c r="G91" s="176"/>
      <c r="H91" s="6"/>
      <c r="I91" s="6"/>
      <c r="J91" s="6"/>
      <c r="K91" s="7"/>
      <c r="L91" s="3"/>
    </row>
    <row r="92" spans="1:12" ht="19.5" customHeight="1">
      <c r="A92" s="3"/>
      <c r="B92" s="3"/>
      <c r="C92" s="177" t="s">
        <v>6</v>
      </c>
      <c r="D92" s="178"/>
      <c r="E92" s="178"/>
      <c r="F92" s="8">
        <f>cokva3</f>
        <v>3000</v>
      </c>
      <c r="G92" s="9" t="s">
        <v>7</v>
      </c>
      <c r="H92" s="179"/>
      <c r="I92" s="178"/>
      <c r="J92" s="178"/>
      <c r="K92" s="180"/>
      <c r="L92" s="10"/>
    </row>
    <row r="93" spans="1:12" ht="19.5" customHeight="1">
      <c r="A93" s="3"/>
      <c r="B93" s="3"/>
      <c r="C93" s="163" t="s">
        <v>8</v>
      </c>
      <c r="D93" s="164"/>
      <c r="E93" s="164"/>
      <c r="F93" s="8">
        <f>covb3</f>
        <v>11.4</v>
      </c>
      <c r="G93" s="9" t="s">
        <v>9</v>
      </c>
      <c r="H93" s="165"/>
      <c r="I93" s="166"/>
      <c r="J93" s="166"/>
      <c r="K93" s="167"/>
      <c r="L93" s="10"/>
    </row>
    <row r="94" spans="1:12" ht="19.5" customHeight="1">
      <c r="A94" s="3"/>
      <c r="B94" s="3"/>
      <c r="C94" s="163" t="s">
        <v>10</v>
      </c>
      <c r="D94" s="164"/>
      <c r="E94" s="164"/>
      <c r="F94" s="8">
        <f>covt3</f>
        <v>11.4</v>
      </c>
      <c r="G94" s="9" t="s">
        <v>9</v>
      </c>
      <c r="H94" s="165"/>
      <c r="I94" s="166"/>
      <c r="J94" s="166"/>
      <c r="K94" s="167"/>
      <c r="L94" s="10"/>
    </row>
    <row r="95" spans="1:12" ht="19.5" customHeight="1">
      <c r="A95" s="3"/>
      <c r="B95" s="3"/>
      <c r="C95" s="163" t="s">
        <v>11</v>
      </c>
      <c r="D95" s="164"/>
      <c r="E95" s="164"/>
      <c r="F95" s="8">
        <f>L百分3</f>
        <v>100</v>
      </c>
      <c r="G95" s="9" t="s">
        <v>12</v>
      </c>
      <c r="H95" s="165"/>
      <c r="I95" s="166"/>
      <c r="J95" s="166"/>
      <c r="K95" s="167"/>
      <c r="L95" s="10"/>
    </row>
    <row r="96" spans="1:12" ht="19.5" customHeight="1">
      <c r="A96" s="11"/>
      <c r="B96" s="3"/>
      <c r="C96" s="163" t="s">
        <v>13</v>
      </c>
      <c r="D96" s="164"/>
      <c r="E96" s="164"/>
      <c r="F96" s="8" t="str">
        <f>CONCATENATE(一次側3,"/",二次側3)</f>
        <v>150/5</v>
      </c>
      <c r="G96" s="9" t="s">
        <v>14</v>
      </c>
      <c r="H96" s="165" t="str">
        <f>CONCATENATE("="," ",一次側3," / ",二次側3," ="," ",一次側3/二次側3)</f>
        <v>= 150 / 5 = 30</v>
      </c>
      <c r="I96" s="166"/>
      <c r="J96" s="166"/>
      <c r="K96" s="167"/>
      <c r="L96" s="10"/>
    </row>
    <row r="97" spans="1:12" ht="19.5" customHeight="1">
      <c r="A97" s="11"/>
      <c r="B97" s="3"/>
      <c r="C97" s="163" t="s">
        <v>15</v>
      </c>
      <c r="D97" s="164"/>
      <c r="E97" s="164"/>
      <c r="F97" s="8" t="str">
        <f>CONCATENATE(_Tc3,"In")</f>
        <v>1.01In</v>
      </c>
      <c r="G97" s="12" t="str">
        <f>CONCATENATE("=",_Tc3*二次側3,"A")</f>
        <v>=5.05A</v>
      </c>
      <c r="H97" s="173"/>
      <c r="I97" s="174"/>
      <c r="J97" s="174"/>
      <c r="K97" s="175"/>
      <c r="L97" s="13"/>
    </row>
    <row r="98" spans="1:12" ht="19.5" customHeight="1">
      <c r="A98" s="11"/>
      <c r="B98" s="3"/>
      <c r="C98" s="163" t="s">
        <v>16</v>
      </c>
      <c r="D98" s="164"/>
      <c r="E98" s="164"/>
      <c r="F98" s="8" t="str">
        <f>CONCATENATE(ROUND(_Ts3/一次側3,2),"In")</f>
        <v>0.93In</v>
      </c>
      <c r="G98" s="12" t="str">
        <f>CONCATENATE("=",ROUND(_Ts3*二次側3/一次側3,2),"A")</f>
        <v>=4.67A</v>
      </c>
      <c r="H98" s="165"/>
      <c r="I98" s="166"/>
      <c r="J98" s="166"/>
      <c r="K98" s="167"/>
      <c r="L98" s="10"/>
    </row>
    <row r="99" spans="1:12" ht="19.5" customHeight="1">
      <c r="A99" s="3"/>
      <c r="B99" s="3"/>
      <c r="C99" s="163" t="s">
        <v>17</v>
      </c>
      <c r="D99" s="164"/>
      <c r="E99" s="164"/>
      <c r="F99" s="8">
        <f>Isthree</f>
        <v>140</v>
      </c>
      <c r="G99" s="9" t="s">
        <v>18</v>
      </c>
      <c r="H99" s="165" t="str">
        <f>CONCATENATE("= ",_Ts3/一次側3," x ",一次側3," = ",Isthree)</f>
        <v>= 0.933333333333333 x 150 = 140</v>
      </c>
      <c r="I99" s="166"/>
      <c r="J99" s="166"/>
      <c r="K99" s="167"/>
      <c r="L99" s="10"/>
    </row>
    <row r="100" spans="1:12" ht="19.5" customHeight="1">
      <c r="A100" s="3"/>
      <c r="B100" s="3"/>
      <c r="C100" s="163" t="s">
        <v>19</v>
      </c>
      <c r="D100" s="164"/>
      <c r="E100" s="164"/>
      <c r="F100" s="8">
        <f>Lever3</f>
        <v>0.1</v>
      </c>
      <c r="G100" s="9" t="s">
        <v>14</v>
      </c>
      <c r="H100" s="165" t="str">
        <f>CONCATENATE("曲線 Lever = ",Lever3)</f>
        <v>曲線 Lever = 0.1</v>
      </c>
      <c r="I100" s="166"/>
      <c r="J100" s="166"/>
      <c r="K100" s="167"/>
      <c r="L100" s="10"/>
    </row>
    <row r="101" spans="1:12" ht="19.5" customHeight="1">
      <c r="A101" s="3"/>
      <c r="B101" s="3"/>
      <c r="C101" s="163" t="s">
        <v>20</v>
      </c>
      <c r="D101" s="164"/>
      <c r="E101" s="164"/>
      <c r="F101" s="8" t="str">
        <f>CONCATENATE(ROUND(F103/(一次側3/二次側3),2),"A")</f>
        <v>66.67A</v>
      </c>
      <c r="G101" s="15"/>
      <c r="H101" s="168"/>
      <c r="I101" s="169"/>
      <c r="J101" s="169"/>
      <c r="K101" s="170"/>
      <c r="L101" s="10"/>
    </row>
    <row r="102" spans="1:12" ht="19.5" customHeight="1">
      <c r="A102" s="3"/>
      <c r="B102" s="3"/>
      <c r="C102" s="171" t="s">
        <v>21</v>
      </c>
      <c r="D102" s="172"/>
      <c r="E102" s="172"/>
      <c r="F102" s="68">
        <f>1.2*Isthree</f>
        <v>168</v>
      </c>
      <c r="G102" s="69" t="s">
        <v>18</v>
      </c>
      <c r="H102" s="168" t="str">
        <f>CONCATENATE("= 120% Is = ",F102,"A")</f>
        <v>= 120% Is = 168A</v>
      </c>
      <c r="I102" s="169"/>
      <c r="J102" s="169"/>
      <c r="K102" s="170"/>
      <c r="L102" s="10"/>
    </row>
    <row r="103" spans="1:12" ht="19.5" customHeight="1">
      <c r="A103" s="3"/>
      <c r="B103" s="3"/>
      <c r="C103" s="158" t="s">
        <v>22</v>
      </c>
      <c r="D103" s="159"/>
      <c r="E103" s="159"/>
      <c r="F103" s="29">
        <f>IF(輸入瞬跳電流3=" ",10*Isthree,輸入瞬跳電流3)</f>
        <v>2000</v>
      </c>
      <c r="G103" s="40" t="s">
        <v>18</v>
      </c>
      <c r="H103" s="160" t="str">
        <f>CONCATENATE("基準值=10倍Is=",10*Isthree,";設定值=",輸入瞬跳電流3)</f>
        <v>基準值=10倍Is=1400;設定值=2000</v>
      </c>
      <c r="I103" s="161"/>
      <c r="J103" s="161"/>
      <c r="K103" s="162"/>
      <c r="L103" s="17"/>
    </row>
    <row r="104" spans="1:12" ht="19.5" customHeight="1">
      <c r="A104" s="3"/>
      <c r="B104" s="3"/>
      <c r="C104" s="147" t="s">
        <v>23</v>
      </c>
      <c r="D104" s="148"/>
      <c r="E104" s="148"/>
      <c r="F104" s="149" t="str">
        <f>协调曲线图!S23</f>
        <v>SEPAM S80</v>
      </c>
      <c r="G104" s="149"/>
      <c r="H104" s="149"/>
      <c r="I104" s="149"/>
      <c r="J104" s="149"/>
      <c r="K104" s="150"/>
      <c r="L104" s="10"/>
    </row>
    <row r="105" spans="1:12" ht="19.5" customHeight="1">
      <c r="A105" s="3"/>
      <c r="B105" s="3"/>
      <c r="C105" s="18" t="s">
        <v>24</v>
      </c>
      <c r="D105" s="19"/>
      <c r="E105" s="20" t="str">
        <f>CONCATENATE(一次側3,"/",二次側3)</f>
        <v>150/5</v>
      </c>
      <c r="F105" s="19" t="s">
        <v>25</v>
      </c>
      <c r="G105" s="19"/>
      <c r="H105" s="20" t="str">
        <f>CONCATENATE(一次側3,"A")</f>
        <v>150A</v>
      </c>
      <c r="I105" s="19" t="s">
        <v>26</v>
      </c>
      <c r="J105" s="19"/>
      <c r="K105" s="21">
        <f>Lever3</f>
        <v>0.1</v>
      </c>
      <c r="L105" s="22"/>
    </row>
    <row r="106" spans="1:12" ht="19.5" customHeight="1">
      <c r="A106" s="3"/>
      <c r="B106" s="3"/>
      <c r="C106" s="18" t="s">
        <v>27</v>
      </c>
      <c r="D106" s="19"/>
      <c r="E106" s="23" t="str">
        <f>CONCATENATE(F98,G98)</f>
        <v>0.93In=4.67A</v>
      </c>
      <c r="F106" s="19" t="s">
        <v>28</v>
      </c>
      <c r="G106" s="19"/>
      <c r="H106" s="20" t="str">
        <f>CONCATENATE(Isthree,"A")</f>
        <v>140A</v>
      </c>
      <c r="I106" s="19" t="s">
        <v>29</v>
      </c>
      <c r="J106" s="19"/>
      <c r="K106" s="24" t="str">
        <f>协调曲线图!S21</f>
        <v>EIT</v>
      </c>
      <c r="L106" s="8"/>
    </row>
    <row r="107" spans="1:12" ht="19.5" customHeight="1">
      <c r="A107" s="3"/>
      <c r="B107" s="3"/>
      <c r="C107" s="25" t="s">
        <v>126</v>
      </c>
      <c r="D107" s="26"/>
      <c r="E107" s="27" t="str">
        <f>F101</f>
        <v>66.67A</v>
      </c>
      <c r="F107" s="26" t="s">
        <v>30</v>
      </c>
      <c r="G107" s="26"/>
      <c r="H107" s="27" t="str">
        <f>CONCATENATE(F103,"A")</f>
        <v>2000A</v>
      </c>
      <c r="I107" s="26"/>
      <c r="J107" s="26"/>
      <c r="K107" s="28"/>
      <c r="L107" s="3"/>
    </row>
    <row r="108" spans="1:12" ht="19.5" customHeight="1">
      <c r="A108" s="3"/>
      <c r="B108" s="3"/>
      <c r="C108" s="151" t="s">
        <v>31</v>
      </c>
      <c r="D108" s="117" t="s">
        <v>32</v>
      </c>
      <c r="E108" s="153"/>
      <c r="F108" s="153"/>
      <c r="G108" s="118"/>
      <c r="H108" s="154" t="s">
        <v>33</v>
      </c>
      <c r="I108" s="127"/>
      <c r="J108" s="127"/>
      <c r="K108" s="155"/>
      <c r="L108" s="8"/>
    </row>
    <row r="109" spans="1:12" ht="19.5" customHeight="1">
      <c r="A109" s="3"/>
      <c r="B109" s="3"/>
      <c r="C109" s="152"/>
      <c r="D109" s="117" t="s">
        <v>34</v>
      </c>
      <c r="E109" s="118"/>
      <c r="F109" s="110" t="s">
        <v>35</v>
      </c>
      <c r="G109" s="118"/>
      <c r="H109" s="156"/>
      <c r="I109" s="124"/>
      <c r="J109" s="124"/>
      <c r="K109" s="157"/>
      <c r="L109" s="8"/>
    </row>
    <row r="110" spans="1:12" ht="19.5" customHeight="1">
      <c r="A110" s="30" t="s">
        <v>14</v>
      </c>
      <c r="B110" s="8"/>
      <c r="C110" s="31">
        <v>2</v>
      </c>
      <c r="D110" s="134">
        <f t="shared" ref="D110:D119" si="4">F110/(covb3/covt3)</f>
        <v>280</v>
      </c>
      <c r="E110" s="135"/>
      <c r="F110" s="136">
        <f t="shared" ref="F110:F118" si="5">Isthree*$C110</f>
        <v>280</v>
      </c>
      <c r="G110" s="137"/>
      <c r="H110" s="138">
        <f>曲線Lever計算!$L9</f>
        <v>3.3003300330033003</v>
      </c>
      <c r="I110" s="139"/>
      <c r="J110" s="139"/>
      <c r="K110" s="140"/>
      <c r="L110" s="32"/>
    </row>
    <row r="111" spans="1:12" ht="19.5" customHeight="1">
      <c r="B111" s="8"/>
      <c r="C111" s="55">
        <v>3</v>
      </c>
      <c r="D111" s="134">
        <f t="shared" si="4"/>
        <v>420</v>
      </c>
      <c r="E111" s="135"/>
      <c r="F111" s="136">
        <f t="shared" si="5"/>
        <v>420</v>
      </c>
      <c r="G111" s="137"/>
      <c r="H111" s="138">
        <f>曲線Lever計算!$L10</f>
        <v>1.2376237623762376</v>
      </c>
      <c r="I111" s="139"/>
      <c r="J111" s="139"/>
      <c r="K111" s="140"/>
      <c r="L111" s="32"/>
    </row>
    <row r="112" spans="1:12" ht="19.5" customHeight="1">
      <c r="B112" s="8"/>
      <c r="C112" s="55">
        <v>4</v>
      </c>
      <c r="D112" s="134">
        <f t="shared" si="4"/>
        <v>560</v>
      </c>
      <c r="E112" s="135"/>
      <c r="F112" s="136">
        <f t="shared" si="5"/>
        <v>560</v>
      </c>
      <c r="G112" s="137"/>
      <c r="H112" s="138">
        <f>曲線Lever計算!$L11</f>
        <v>0.66006600660066006</v>
      </c>
      <c r="I112" s="139"/>
      <c r="J112" s="139"/>
      <c r="K112" s="140"/>
      <c r="L112" s="32"/>
    </row>
    <row r="113" spans="1:12" ht="19.5" customHeight="1">
      <c r="B113" s="33"/>
      <c r="C113" s="56">
        <v>5</v>
      </c>
      <c r="D113" s="134">
        <f t="shared" si="4"/>
        <v>700</v>
      </c>
      <c r="E113" s="135"/>
      <c r="F113" s="136">
        <f t="shared" si="5"/>
        <v>700</v>
      </c>
      <c r="G113" s="137"/>
      <c r="H113" s="138">
        <f>曲線Lever計算!$L12</f>
        <v>0.45</v>
      </c>
      <c r="I113" s="139"/>
      <c r="J113" s="139"/>
      <c r="K113" s="140"/>
      <c r="L113" s="32"/>
    </row>
    <row r="114" spans="1:12" ht="19.5" customHeight="1">
      <c r="B114" s="33"/>
      <c r="C114" s="56">
        <v>6</v>
      </c>
      <c r="D114" s="134">
        <f t="shared" si="4"/>
        <v>840</v>
      </c>
      <c r="E114" s="135"/>
      <c r="F114" s="136">
        <f t="shared" si="5"/>
        <v>840</v>
      </c>
      <c r="G114" s="137"/>
      <c r="H114" s="138">
        <f>曲線Lever計算!$L13</f>
        <v>0.45</v>
      </c>
      <c r="I114" s="139"/>
      <c r="J114" s="139"/>
      <c r="K114" s="140"/>
      <c r="L114" s="32"/>
    </row>
    <row r="115" spans="1:12" ht="19.5" customHeight="1">
      <c r="B115" s="33"/>
      <c r="C115" s="56">
        <v>7</v>
      </c>
      <c r="D115" s="134">
        <f t="shared" si="4"/>
        <v>980</v>
      </c>
      <c r="E115" s="135"/>
      <c r="F115" s="136">
        <f t="shared" si="5"/>
        <v>980</v>
      </c>
      <c r="G115" s="137"/>
      <c r="H115" s="138">
        <f>曲線Lever計算!$L14</f>
        <v>0.45</v>
      </c>
      <c r="I115" s="139"/>
      <c r="J115" s="139"/>
      <c r="K115" s="140"/>
      <c r="L115" s="32"/>
    </row>
    <row r="116" spans="1:12" ht="19.5" customHeight="1">
      <c r="B116" s="33"/>
      <c r="C116" s="56">
        <v>8</v>
      </c>
      <c r="D116" s="134">
        <f t="shared" si="4"/>
        <v>1120</v>
      </c>
      <c r="E116" s="135"/>
      <c r="F116" s="136">
        <f t="shared" si="5"/>
        <v>1120</v>
      </c>
      <c r="G116" s="137"/>
      <c r="H116" s="138">
        <f>曲線Lever計算!$L15</f>
        <v>0.45</v>
      </c>
      <c r="I116" s="139"/>
      <c r="J116" s="139"/>
      <c r="K116" s="140"/>
      <c r="L116" s="32"/>
    </row>
    <row r="117" spans="1:12" ht="19.5" customHeight="1">
      <c r="B117" s="33"/>
      <c r="C117" s="56">
        <v>9</v>
      </c>
      <c r="D117" s="134">
        <f t="shared" si="4"/>
        <v>1260</v>
      </c>
      <c r="E117" s="135"/>
      <c r="F117" s="136">
        <f t="shared" si="5"/>
        <v>1260</v>
      </c>
      <c r="G117" s="137"/>
      <c r="H117" s="138">
        <f>曲線Lever計算!$L16</f>
        <v>0.45</v>
      </c>
      <c r="I117" s="139"/>
      <c r="J117" s="139"/>
      <c r="K117" s="140"/>
      <c r="L117" s="32"/>
    </row>
    <row r="118" spans="1:12" ht="19.5" customHeight="1">
      <c r="B118" s="33"/>
      <c r="C118" s="56">
        <v>10</v>
      </c>
      <c r="D118" s="134">
        <f t="shared" si="4"/>
        <v>1400</v>
      </c>
      <c r="E118" s="135"/>
      <c r="F118" s="136">
        <f t="shared" si="5"/>
        <v>1400</v>
      </c>
      <c r="G118" s="137"/>
      <c r="H118" s="138">
        <f>曲線Lever計算!$L17</f>
        <v>0.45</v>
      </c>
      <c r="I118" s="139"/>
      <c r="J118" s="139"/>
      <c r="K118" s="140"/>
      <c r="L118" s="32"/>
    </row>
    <row r="119" spans="1:12" ht="19.5" customHeight="1" thickBot="1">
      <c r="B119" s="8"/>
      <c r="C119" s="34" t="s">
        <v>36</v>
      </c>
      <c r="D119" s="141">
        <f t="shared" si="4"/>
        <v>2000</v>
      </c>
      <c r="E119" s="142"/>
      <c r="F119" s="141">
        <f>F103</f>
        <v>2000</v>
      </c>
      <c r="G119" s="143"/>
      <c r="H119" s="144">
        <f>IF(瞬跳時間3=" ",0.025,瞬跳時間3)</f>
        <v>0.45</v>
      </c>
      <c r="I119" s="145"/>
      <c r="J119" s="145"/>
      <c r="K119" s="146"/>
      <c r="L119" s="32"/>
    </row>
    <row r="120" spans="1:12" ht="19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ht="19.5" customHeight="1" thickBot="1">
      <c r="A121" s="3"/>
      <c r="B121" s="3"/>
      <c r="C121" s="128" t="s">
        <v>37</v>
      </c>
      <c r="D121" s="128"/>
      <c r="E121" s="128"/>
      <c r="F121" s="3"/>
      <c r="G121" s="3"/>
      <c r="H121" s="3"/>
      <c r="I121" s="3"/>
      <c r="J121" s="3"/>
      <c r="K121" s="3"/>
      <c r="L121" s="3"/>
    </row>
    <row r="122" spans="1:12" ht="19.5" customHeight="1">
      <c r="A122" s="3"/>
      <c r="B122" s="3"/>
      <c r="C122" s="35" t="s">
        <v>38</v>
      </c>
      <c r="D122" s="129" t="str">
        <f>F104</f>
        <v>SEPAM S80</v>
      </c>
      <c r="E122" s="130"/>
      <c r="F122" s="131" t="s">
        <v>39</v>
      </c>
      <c r="G122" s="132"/>
      <c r="H122" s="119" t="s">
        <v>40</v>
      </c>
      <c r="I122" s="124" t="s">
        <v>41</v>
      </c>
      <c r="J122" s="124"/>
      <c r="K122" s="124"/>
      <c r="L122" s="8"/>
    </row>
    <row r="123" spans="1:12" ht="19.5" customHeight="1">
      <c r="A123" s="3"/>
      <c r="B123" s="3"/>
      <c r="C123" s="31" t="s">
        <v>42</v>
      </c>
      <c r="D123" s="125" t="str">
        <f>CONCATENATE(一次側3,"A")</f>
        <v>150A</v>
      </c>
      <c r="E123" s="126"/>
      <c r="F123" s="110" t="s">
        <v>43</v>
      </c>
      <c r="G123" s="111"/>
      <c r="H123" s="119"/>
      <c r="I123" s="127" t="s">
        <v>44</v>
      </c>
      <c r="J123" s="127"/>
      <c r="K123" s="127"/>
      <c r="L123" s="8"/>
    </row>
    <row r="124" spans="1:12" ht="19.5" customHeight="1">
      <c r="A124" s="3" t="s">
        <v>14</v>
      </c>
      <c r="B124" s="3"/>
      <c r="C124" s="31" t="s">
        <v>45</v>
      </c>
      <c r="D124" s="117" t="str">
        <f>IF(AND(0.1&lt;=Isthree/一次側3,Isthree/一次側3&lt;=2.4),CONCATENATE(Isthree,"A"),"ERROR!")</f>
        <v>140A</v>
      </c>
      <c r="E124" s="118"/>
      <c r="F124" s="110" t="s">
        <v>46</v>
      </c>
      <c r="G124" s="111"/>
      <c r="H124" s="70" t="s">
        <v>47</v>
      </c>
      <c r="I124" s="133" t="s">
        <v>48</v>
      </c>
      <c r="J124" s="133"/>
      <c r="K124" s="133"/>
      <c r="L124" s="8"/>
    </row>
    <row r="125" spans="1:12" ht="19.5" customHeight="1">
      <c r="A125" s="3"/>
      <c r="B125" s="3"/>
      <c r="C125" s="31" t="s">
        <v>49</v>
      </c>
      <c r="D125" s="108">
        <f>Lever3</f>
        <v>0.1</v>
      </c>
      <c r="E125" s="109"/>
      <c r="F125" s="110" t="s">
        <v>50</v>
      </c>
      <c r="G125" s="111"/>
      <c r="H125" s="36" t="s">
        <v>51</v>
      </c>
      <c r="I125" s="112" t="s">
        <v>52</v>
      </c>
      <c r="J125" s="112"/>
      <c r="K125" s="112"/>
      <c r="L125" s="8"/>
    </row>
    <row r="126" spans="1:12" ht="19.5" customHeight="1">
      <c r="A126" s="3"/>
      <c r="B126" s="3"/>
      <c r="C126" s="31" t="s">
        <v>53</v>
      </c>
      <c r="D126" s="117" t="str">
        <f>IF(AND(0.1&lt;=F103/一次側3,F103/一次側3&lt;=24),CONCATENATE(F103,"A"),"ERROR!")</f>
        <v>2000A</v>
      </c>
      <c r="E126" s="118"/>
      <c r="F126" s="110" t="s">
        <v>54</v>
      </c>
      <c r="G126" s="111"/>
      <c r="H126" s="119" t="s">
        <v>55</v>
      </c>
      <c r="I126" s="29" t="s">
        <v>53</v>
      </c>
      <c r="J126" s="112" t="s">
        <v>14</v>
      </c>
      <c r="K126" s="8"/>
      <c r="L126" s="8"/>
    </row>
    <row r="127" spans="1:12" ht="19.5" customHeight="1">
      <c r="A127" s="3"/>
      <c r="B127" s="3"/>
      <c r="C127" s="31" t="s">
        <v>56</v>
      </c>
      <c r="D127" s="120">
        <f>瞬跳時間3</f>
        <v>0.45</v>
      </c>
      <c r="E127" s="121"/>
      <c r="F127" s="122" t="s">
        <v>130</v>
      </c>
      <c r="G127" s="123"/>
      <c r="H127" s="119"/>
      <c r="I127" s="8" t="s">
        <v>57</v>
      </c>
      <c r="J127" s="112"/>
      <c r="K127" s="8"/>
      <c r="L127" s="8"/>
    </row>
    <row r="128" spans="1:12" ht="19.5" customHeight="1" thickBot="1">
      <c r="A128" s="3"/>
      <c r="B128" s="3"/>
      <c r="C128" s="37" t="s">
        <v>58</v>
      </c>
      <c r="D128" s="113" t="str">
        <f>K106</f>
        <v>EIT</v>
      </c>
      <c r="E128" s="114"/>
      <c r="F128" s="115"/>
      <c r="G128" s="116"/>
      <c r="H128" s="3"/>
      <c r="I128" s="8"/>
      <c r="J128" s="8"/>
      <c r="K128" s="8"/>
      <c r="L128" s="8"/>
    </row>
    <row r="129" spans="1:12" ht="19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ht="19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ht="19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ht="19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ht="19.5" customHeight="1">
      <c r="A133" s="1" t="s">
        <v>111</v>
      </c>
      <c r="B133" s="1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9.5" customHeight="1" thickBot="1">
      <c r="A134" s="3"/>
      <c r="B134" s="3"/>
      <c r="C134" s="4" t="s">
        <v>4</v>
      </c>
      <c r="D134" s="4"/>
      <c r="E134" s="4"/>
      <c r="F134" s="4"/>
      <c r="G134" s="3"/>
      <c r="H134" s="3"/>
      <c r="I134" s="3"/>
      <c r="J134" s="3"/>
      <c r="K134" s="3"/>
      <c r="L134" s="3"/>
    </row>
    <row r="135" spans="1:12" ht="19.5" customHeight="1">
      <c r="A135" s="3"/>
      <c r="B135" s="3"/>
      <c r="C135" s="5" t="s">
        <v>5</v>
      </c>
      <c r="D135" s="6"/>
      <c r="E135" s="176" t="str">
        <f>coname4</f>
        <v>20Kv馈线</v>
      </c>
      <c r="F135" s="176"/>
      <c r="G135" s="176"/>
      <c r="H135" s="6"/>
      <c r="I135" s="6"/>
      <c r="J135" s="6"/>
      <c r="K135" s="7"/>
      <c r="L135" s="3"/>
    </row>
    <row r="136" spans="1:12" ht="19.5" customHeight="1">
      <c r="A136" s="3"/>
      <c r="B136" s="3"/>
      <c r="C136" s="177" t="s">
        <v>6</v>
      </c>
      <c r="D136" s="178"/>
      <c r="E136" s="178"/>
      <c r="F136" s="8">
        <f>cokva4</f>
        <v>4000</v>
      </c>
      <c r="G136" s="9" t="s">
        <v>7</v>
      </c>
      <c r="H136" s="179"/>
      <c r="I136" s="178"/>
      <c r="J136" s="178"/>
      <c r="K136" s="180"/>
      <c r="L136" s="10"/>
    </row>
    <row r="137" spans="1:12" ht="19.5" customHeight="1">
      <c r="A137" s="3"/>
      <c r="B137" s="3"/>
      <c r="C137" s="163" t="s">
        <v>8</v>
      </c>
      <c r="D137" s="164"/>
      <c r="E137" s="164"/>
      <c r="F137" s="8">
        <f>covb4</f>
        <v>11.4</v>
      </c>
      <c r="G137" s="9" t="s">
        <v>9</v>
      </c>
      <c r="H137" s="165"/>
      <c r="I137" s="166"/>
      <c r="J137" s="166"/>
      <c r="K137" s="167"/>
      <c r="L137" s="10"/>
    </row>
    <row r="138" spans="1:12" ht="19.5" customHeight="1">
      <c r="A138" s="3"/>
      <c r="B138" s="3"/>
      <c r="C138" s="163" t="s">
        <v>10</v>
      </c>
      <c r="D138" s="164"/>
      <c r="E138" s="164"/>
      <c r="F138" s="8">
        <f>covt4</f>
        <v>11.4</v>
      </c>
      <c r="G138" s="9" t="s">
        <v>9</v>
      </c>
      <c r="H138" s="165"/>
      <c r="I138" s="166"/>
      <c r="J138" s="166"/>
      <c r="K138" s="167"/>
      <c r="L138" s="10"/>
    </row>
    <row r="139" spans="1:12" ht="19.5" customHeight="1">
      <c r="A139" s="3"/>
      <c r="B139" s="3"/>
      <c r="C139" s="163" t="s">
        <v>11</v>
      </c>
      <c r="D139" s="164"/>
      <c r="E139" s="164"/>
      <c r="F139" s="8">
        <f>L百分4</f>
        <v>100</v>
      </c>
      <c r="G139" s="9" t="s">
        <v>12</v>
      </c>
      <c r="H139" s="165"/>
      <c r="I139" s="166"/>
      <c r="J139" s="166"/>
      <c r="K139" s="167"/>
      <c r="L139" s="10"/>
    </row>
    <row r="140" spans="1:12" ht="19.5" customHeight="1">
      <c r="A140" s="11"/>
      <c r="B140" s="3"/>
      <c r="C140" s="163" t="s">
        <v>13</v>
      </c>
      <c r="D140" s="164"/>
      <c r="E140" s="164"/>
      <c r="F140" s="8" t="str">
        <f>CONCATENATE(一次側4,"/",二次側4)</f>
        <v>150/5</v>
      </c>
      <c r="G140" s="9" t="s">
        <v>14</v>
      </c>
      <c r="H140" s="165" t="str">
        <f>CONCATENATE("="," ",一次側4," / ",二次側4," ="," ",一次側4/二次側4)</f>
        <v>= 150 / 5 = 30</v>
      </c>
      <c r="I140" s="166"/>
      <c r="J140" s="166"/>
      <c r="K140" s="167"/>
      <c r="L140" s="10"/>
    </row>
    <row r="141" spans="1:12" ht="19.5" customHeight="1">
      <c r="A141" s="11"/>
      <c r="B141" s="3"/>
      <c r="C141" s="163" t="s">
        <v>15</v>
      </c>
      <c r="D141" s="164"/>
      <c r="E141" s="164"/>
      <c r="F141" s="8" t="str">
        <f>CONCATENATE(_Tc4,"In")</f>
        <v>1.35In</v>
      </c>
      <c r="G141" s="12" t="str">
        <f>CONCATENATE("=",_Tc4*二次側4,"A")</f>
        <v>=6.75A</v>
      </c>
      <c r="H141" s="173"/>
      <c r="I141" s="174"/>
      <c r="J141" s="174"/>
      <c r="K141" s="175"/>
      <c r="L141" s="13"/>
    </row>
    <row r="142" spans="1:12" ht="19.5" customHeight="1">
      <c r="A142" s="11"/>
      <c r="B142" s="3"/>
      <c r="C142" s="163" t="s">
        <v>16</v>
      </c>
      <c r="D142" s="164"/>
      <c r="E142" s="164"/>
      <c r="F142" s="8" t="str">
        <f>CONCATENATE(ROUND(_Ts4/一次側4,2),"In")</f>
        <v>1.47In</v>
      </c>
      <c r="G142" s="12" t="str">
        <f>CONCATENATE("=",ROUND(_Ts4*二次側4/一次側4,2),"A")</f>
        <v>=7.33A</v>
      </c>
      <c r="H142" s="165"/>
      <c r="I142" s="166"/>
      <c r="J142" s="166"/>
      <c r="K142" s="167"/>
      <c r="L142" s="10"/>
    </row>
    <row r="143" spans="1:12" ht="19.5" customHeight="1">
      <c r="A143" s="3"/>
      <c r="B143" s="3"/>
      <c r="C143" s="163" t="s">
        <v>17</v>
      </c>
      <c r="D143" s="164"/>
      <c r="E143" s="164"/>
      <c r="F143" s="8">
        <f>Isfour</f>
        <v>220</v>
      </c>
      <c r="G143" s="9" t="s">
        <v>18</v>
      </c>
      <c r="H143" s="165" t="str">
        <f>CONCATENATE("= ",_Ts4/一次側4," x ",一次側4," = ",Isfour)</f>
        <v>= 1.46666666666667 x 150 = 220</v>
      </c>
      <c r="I143" s="166"/>
      <c r="J143" s="166"/>
      <c r="K143" s="167"/>
      <c r="L143" s="10"/>
    </row>
    <row r="144" spans="1:12" ht="19.5" customHeight="1">
      <c r="A144" s="3"/>
      <c r="B144" s="3"/>
      <c r="C144" s="163" t="s">
        <v>19</v>
      </c>
      <c r="D144" s="164"/>
      <c r="E144" s="164"/>
      <c r="F144" s="8">
        <f>Lever4</f>
        <v>0.1</v>
      </c>
      <c r="G144" s="9" t="s">
        <v>14</v>
      </c>
      <c r="H144" s="165" t="str">
        <f>CONCATENATE("曲線 Lever = ",Lever4)</f>
        <v>曲線 Lever = 0.1</v>
      </c>
      <c r="I144" s="166"/>
      <c r="J144" s="166"/>
      <c r="K144" s="167"/>
      <c r="L144" s="10"/>
    </row>
    <row r="145" spans="1:12" ht="19.5" customHeight="1">
      <c r="A145" s="3"/>
      <c r="B145" s="3"/>
      <c r="C145" s="163" t="s">
        <v>20</v>
      </c>
      <c r="D145" s="164"/>
      <c r="E145" s="164"/>
      <c r="F145" s="8" t="str">
        <f>CONCATENATE(ROUND(F147/(一次側4/二次側4),2),"A")</f>
        <v>83.33A</v>
      </c>
      <c r="G145" s="15"/>
      <c r="H145" s="168"/>
      <c r="I145" s="169"/>
      <c r="J145" s="169"/>
      <c r="K145" s="170"/>
      <c r="L145" s="10"/>
    </row>
    <row r="146" spans="1:12" ht="19.5" customHeight="1">
      <c r="A146" s="3"/>
      <c r="B146" s="3"/>
      <c r="C146" s="171" t="s">
        <v>21</v>
      </c>
      <c r="D146" s="172"/>
      <c r="E146" s="172"/>
      <c r="F146" s="68">
        <f>1.2*Isfour</f>
        <v>264</v>
      </c>
      <c r="G146" s="69" t="s">
        <v>18</v>
      </c>
      <c r="H146" s="168" t="str">
        <f>CONCATENATE("= 120% Is = ",F146,"A")</f>
        <v>= 120% Is = 264A</v>
      </c>
      <c r="I146" s="169"/>
      <c r="J146" s="169"/>
      <c r="K146" s="170"/>
      <c r="L146" s="10"/>
    </row>
    <row r="147" spans="1:12" ht="19.5" customHeight="1">
      <c r="A147" s="3"/>
      <c r="B147" s="3"/>
      <c r="C147" s="158" t="s">
        <v>22</v>
      </c>
      <c r="D147" s="159"/>
      <c r="E147" s="159"/>
      <c r="F147" s="29">
        <f>IF(輸入瞬跳電流4=" ",10*Isfour,輸入瞬跳電流4)</f>
        <v>2500</v>
      </c>
      <c r="G147" s="40" t="s">
        <v>18</v>
      </c>
      <c r="H147" s="160" t="str">
        <f>CONCATENATE("基準值=10倍Is=",10*Isfour,";設定值=",輸入瞬跳電流4)</f>
        <v>基準值=10倍Is=2200;設定值=2500</v>
      </c>
      <c r="I147" s="161"/>
      <c r="J147" s="161"/>
      <c r="K147" s="162"/>
      <c r="L147" s="17"/>
    </row>
    <row r="148" spans="1:12" ht="19.5" customHeight="1">
      <c r="A148" s="3"/>
      <c r="B148" s="3"/>
      <c r="C148" s="147" t="s">
        <v>23</v>
      </c>
      <c r="D148" s="148"/>
      <c r="E148" s="148"/>
      <c r="F148" s="149" t="str">
        <f>协调曲线图!S30</f>
        <v>SEPAM G40</v>
      </c>
      <c r="G148" s="149"/>
      <c r="H148" s="149"/>
      <c r="I148" s="149"/>
      <c r="J148" s="149"/>
      <c r="K148" s="150"/>
      <c r="L148" s="10"/>
    </row>
    <row r="149" spans="1:12" ht="19.5" customHeight="1">
      <c r="A149" s="3"/>
      <c r="B149" s="3"/>
      <c r="C149" s="18" t="s">
        <v>24</v>
      </c>
      <c r="D149" s="19"/>
      <c r="E149" s="20" t="str">
        <f>CONCATENATE(一次側4,"/",二次側4)</f>
        <v>150/5</v>
      </c>
      <c r="F149" s="19" t="s">
        <v>25</v>
      </c>
      <c r="G149" s="19"/>
      <c r="H149" s="20" t="str">
        <f>CONCATENATE(一次側4,"A")</f>
        <v>150A</v>
      </c>
      <c r="I149" s="19" t="s">
        <v>26</v>
      </c>
      <c r="J149" s="19"/>
      <c r="K149" s="64">
        <f>Lever4</f>
        <v>0.1</v>
      </c>
      <c r="L149" s="22"/>
    </row>
    <row r="150" spans="1:12" ht="19.5" customHeight="1">
      <c r="A150" s="3"/>
      <c r="B150" s="3"/>
      <c r="C150" s="18" t="s">
        <v>27</v>
      </c>
      <c r="D150" s="19"/>
      <c r="E150" s="23" t="str">
        <f>CONCATENATE(F142,G142)</f>
        <v>1.47In=7.33A</v>
      </c>
      <c r="F150" s="19" t="s">
        <v>28</v>
      </c>
      <c r="G150" s="19"/>
      <c r="H150" s="20" t="str">
        <f>CONCATENATE(Isfour,"A")</f>
        <v>220A</v>
      </c>
      <c r="I150" s="19" t="s">
        <v>29</v>
      </c>
      <c r="J150" s="19"/>
      <c r="K150" s="24" t="str">
        <f>协调曲线图!S28</f>
        <v>EIT</v>
      </c>
      <c r="L150" s="8"/>
    </row>
    <row r="151" spans="1:12" ht="19.5" customHeight="1">
      <c r="A151" s="3"/>
      <c r="B151" s="3"/>
      <c r="C151" s="25" t="s">
        <v>126</v>
      </c>
      <c r="D151" s="26"/>
      <c r="E151" s="27" t="str">
        <f>F145</f>
        <v>83.33A</v>
      </c>
      <c r="F151" s="26" t="s">
        <v>30</v>
      </c>
      <c r="G151" s="26"/>
      <c r="H151" s="27" t="str">
        <f>CONCATENATE(F147,"A")</f>
        <v>2500A</v>
      </c>
      <c r="I151" s="26"/>
      <c r="J151" s="26"/>
      <c r="K151" s="28"/>
      <c r="L151" s="3"/>
    </row>
    <row r="152" spans="1:12" ht="19.5" customHeight="1">
      <c r="A152" s="3"/>
      <c r="B152" s="3"/>
      <c r="C152" s="151" t="s">
        <v>31</v>
      </c>
      <c r="D152" s="117" t="s">
        <v>32</v>
      </c>
      <c r="E152" s="153"/>
      <c r="F152" s="153"/>
      <c r="G152" s="118"/>
      <c r="H152" s="154" t="s">
        <v>33</v>
      </c>
      <c r="I152" s="127"/>
      <c r="J152" s="127"/>
      <c r="K152" s="155"/>
      <c r="L152" s="8"/>
    </row>
    <row r="153" spans="1:12" ht="19.5" customHeight="1">
      <c r="A153" s="3"/>
      <c r="B153" s="3"/>
      <c r="C153" s="152"/>
      <c r="D153" s="117" t="s">
        <v>34</v>
      </c>
      <c r="E153" s="118"/>
      <c r="F153" s="110" t="s">
        <v>35</v>
      </c>
      <c r="G153" s="118"/>
      <c r="H153" s="156"/>
      <c r="I153" s="124"/>
      <c r="J153" s="124"/>
      <c r="K153" s="157"/>
      <c r="L153" s="8"/>
    </row>
    <row r="154" spans="1:12" ht="19.5" customHeight="1">
      <c r="A154" s="30" t="s">
        <v>14</v>
      </c>
      <c r="B154" s="8"/>
      <c r="C154" s="31">
        <v>2</v>
      </c>
      <c r="D154" s="134">
        <f t="shared" ref="D154:D163" si="6">F154/(covb4/covt4)</f>
        <v>440</v>
      </c>
      <c r="E154" s="135"/>
      <c r="F154" s="136">
        <f t="shared" ref="F154:F162" si="7">Isfour*$C154</f>
        <v>440</v>
      </c>
      <c r="G154" s="137"/>
      <c r="H154" s="138">
        <f>曲線Lever計算!$Q9</f>
        <v>3.3003300330033003</v>
      </c>
      <c r="I154" s="139"/>
      <c r="J154" s="139"/>
      <c r="K154" s="140"/>
      <c r="L154" s="32"/>
    </row>
    <row r="155" spans="1:12" ht="19.5" customHeight="1">
      <c r="B155" s="8"/>
      <c r="C155" s="55">
        <v>3</v>
      </c>
      <c r="D155" s="134">
        <f t="shared" si="6"/>
        <v>660</v>
      </c>
      <c r="E155" s="135"/>
      <c r="F155" s="136">
        <f t="shared" si="7"/>
        <v>660</v>
      </c>
      <c r="G155" s="137"/>
      <c r="H155" s="138">
        <f>曲線Lever計算!$Q10</f>
        <v>1.2376237623762376</v>
      </c>
      <c r="I155" s="139"/>
      <c r="J155" s="139"/>
      <c r="K155" s="140"/>
      <c r="L155" s="32"/>
    </row>
    <row r="156" spans="1:12" ht="19.5" customHeight="1">
      <c r="B156" s="8"/>
      <c r="C156" s="55">
        <v>4</v>
      </c>
      <c r="D156" s="134">
        <f t="shared" si="6"/>
        <v>880</v>
      </c>
      <c r="E156" s="135"/>
      <c r="F156" s="136">
        <f t="shared" si="7"/>
        <v>880</v>
      </c>
      <c r="G156" s="137"/>
      <c r="H156" s="138">
        <f>曲線Lever計算!$Q11</f>
        <v>0.66006600660066006</v>
      </c>
      <c r="I156" s="139"/>
      <c r="J156" s="139"/>
      <c r="K156" s="140"/>
      <c r="L156" s="32"/>
    </row>
    <row r="157" spans="1:12" ht="19.5" customHeight="1">
      <c r="B157" s="33"/>
      <c r="C157" s="56">
        <v>5</v>
      </c>
      <c r="D157" s="134">
        <f t="shared" si="6"/>
        <v>1100</v>
      </c>
      <c r="E157" s="135"/>
      <c r="F157" s="136">
        <f t="shared" si="7"/>
        <v>1100</v>
      </c>
      <c r="G157" s="137"/>
      <c r="H157" s="138">
        <f>曲線Lever計算!$Q12</f>
        <v>0.65</v>
      </c>
      <c r="I157" s="139"/>
      <c r="J157" s="139"/>
      <c r="K157" s="140"/>
      <c r="L157" s="32"/>
    </row>
    <row r="158" spans="1:12" ht="19.5" customHeight="1">
      <c r="B158" s="33"/>
      <c r="C158" s="56">
        <v>6</v>
      </c>
      <c r="D158" s="134">
        <f t="shared" si="6"/>
        <v>1320</v>
      </c>
      <c r="E158" s="135"/>
      <c r="F158" s="136">
        <f t="shared" si="7"/>
        <v>1320</v>
      </c>
      <c r="G158" s="137"/>
      <c r="H158" s="138">
        <f>曲線Lever計算!$Q13</f>
        <v>0.65</v>
      </c>
      <c r="I158" s="139"/>
      <c r="J158" s="139"/>
      <c r="K158" s="140"/>
      <c r="L158" s="32"/>
    </row>
    <row r="159" spans="1:12" ht="19.5" customHeight="1">
      <c r="B159" s="33"/>
      <c r="C159" s="56">
        <v>7</v>
      </c>
      <c r="D159" s="134">
        <f t="shared" si="6"/>
        <v>1540</v>
      </c>
      <c r="E159" s="135"/>
      <c r="F159" s="136">
        <f t="shared" si="7"/>
        <v>1540</v>
      </c>
      <c r="G159" s="137"/>
      <c r="H159" s="138">
        <f>曲線Lever計算!$Q14</f>
        <v>0.65</v>
      </c>
      <c r="I159" s="139"/>
      <c r="J159" s="139"/>
      <c r="K159" s="140"/>
      <c r="L159" s="32"/>
    </row>
    <row r="160" spans="1:12" ht="19.5" customHeight="1">
      <c r="B160" s="33"/>
      <c r="C160" s="56">
        <v>8</v>
      </c>
      <c r="D160" s="134">
        <f t="shared" si="6"/>
        <v>1760</v>
      </c>
      <c r="E160" s="135"/>
      <c r="F160" s="136">
        <f t="shared" si="7"/>
        <v>1760</v>
      </c>
      <c r="G160" s="137"/>
      <c r="H160" s="138">
        <f>曲線Lever計算!$Q15</f>
        <v>0.65</v>
      </c>
      <c r="I160" s="139"/>
      <c r="J160" s="139"/>
      <c r="K160" s="140"/>
      <c r="L160" s="32"/>
    </row>
    <row r="161" spans="1:12" ht="19.5" customHeight="1">
      <c r="B161" s="33"/>
      <c r="C161" s="56">
        <v>9</v>
      </c>
      <c r="D161" s="134">
        <f t="shared" si="6"/>
        <v>1980</v>
      </c>
      <c r="E161" s="135"/>
      <c r="F161" s="136">
        <f t="shared" si="7"/>
        <v>1980</v>
      </c>
      <c r="G161" s="137"/>
      <c r="H161" s="138">
        <f>曲線Lever計算!$Q16</f>
        <v>0.65</v>
      </c>
      <c r="I161" s="139"/>
      <c r="J161" s="139"/>
      <c r="K161" s="140"/>
      <c r="L161" s="32"/>
    </row>
    <row r="162" spans="1:12" ht="19.5" customHeight="1">
      <c r="B162" s="33"/>
      <c r="C162" s="56">
        <v>10</v>
      </c>
      <c r="D162" s="134">
        <f t="shared" si="6"/>
        <v>2200</v>
      </c>
      <c r="E162" s="135"/>
      <c r="F162" s="136">
        <f t="shared" si="7"/>
        <v>2200</v>
      </c>
      <c r="G162" s="137"/>
      <c r="H162" s="138">
        <f>曲線Lever計算!$Q17</f>
        <v>0.65</v>
      </c>
      <c r="I162" s="139"/>
      <c r="J162" s="139"/>
      <c r="K162" s="140"/>
      <c r="L162" s="32"/>
    </row>
    <row r="163" spans="1:12" ht="19.5" customHeight="1" thickBot="1">
      <c r="B163" s="8"/>
      <c r="C163" s="34" t="s">
        <v>36</v>
      </c>
      <c r="D163" s="141">
        <f t="shared" si="6"/>
        <v>2500</v>
      </c>
      <c r="E163" s="142"/>
      <c r="F163" s="141">
        <f>F147</f>
        <v>2500</v>
      </c>
      <c r="G163" s="143"/>
      <c r="H163" s="144">
        <f>IF(瞬跳時間1=" ",0.025,瞬跳時間1)</f>
        <v>0.05</v>
      </c>
      <c r="I163" s="145"/>
      <c r="J163" s="145"/>
      <c r="K163" s="146"/>
      <c r="L163" s="32"/>
    </row>
    <row r="164" spans="1:12" ht="19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 ht="19.5" customHeight="1" thickBot="1">
      <c r="A165" s="3"/>
      <c r="B165" s="3"/>
      <c r="C165" s="128" t="s">
        <v>37</v>
      </c>
      <c r="D165" s="128"/>
      <c r="E165" s="128"/>
      <c r="F165" s="3"/>
      <c r="G165" s="3"/>
      <c r="H165" s="3"/>
      <c r="I165" s="3"/>
      <c r="J165" s="3"/>
      <c r="K165" s="3"/>
      <c r="L165" s="3"/>
    </row>
    <row r="166" spans="1:12" ht="19.5" customHeight="1">
      <c r="A166" s="3"/>
      <c r="B166" s="3"/>
      <c r="C166" s="35" t="s">
        <v>38</v>
      </c>
      <c r="D166" s="129" t="str">
        <f>F148</f>
        <v>SEPAM G40</v>
      </c>
      <c r="E166" s="130"/>
      <c r="F166" s="131" t="s">
        <v>39</v>
      </c>
      <c r="G166" s="132"/>
      <c r="H166" s="119" t="s">
        <v>40</v>
      </c>
      <c r="I166" s="124" t="s">
        <v>41</v>
      </c>
      <c r="J166" s="124"/>
      <c r="K166" s="124"/>
      <c r="L166" s="8"/>
    </row>
    <row r="167" spans="1:12" ht="19.5" customHeight="1">
      <c r="A167" s="3"/>
      <c r="B167" s="3"/>
      <c r="C167" s="31" t="s">
        <v>42</v>
      </c>
      <c r="D167" s="125" t="str">
        <f>CONCATENATE(一次側4,"A")</f>
        <v>150A</v>
      </c>
      <c r="E167" s="126"/>
      <c r="F167" s="110" t="s">
        <v>43</v>
      </c>
      <c r="G167" s="111"/>
      <c r="H167" s="119"/>
      <c r="I167" s="127" t="s">
        <v>44</v>
      </c>
      <c r="J167" s="127"/>
      <c r="K167" s="127"/>
      <c r="L167" s="8"/>
    </row>
    <row r="168" spans="1:12" ht="19.5" customHeight="1">
      <c r="A168" s="3" t="s">
        <v>14</v>
      </c>
      <c r="B168" s="3"/>
      <c r="C168" s="31" t="s">
        <v>45</v>
      </c>
      <c r="D168" s="117" t="str">
        <f>IF(AND(0.1&lt;=Isfour/一次側4,Isfour/一次側4&lt;=2.4),CONCATENATE(Isfour,"A"),"ERROR!")</f>
        <v>220A</v>
      </c>
      <c r="E168" s="118"/>
      <c r="F168" s="110" t="s">
        <v>46</v>
      </c>
      <c r="G168" s="111"/>
      <c r="H168" s="70" t="s">
        <v>47</v>
      </c>
      <c r="I168" s="133" t="s">
        <v>48</v>
      </c>
      <c r="J168" s="133"/>
      <c r="K168" s="133"/>
      <c r="L168" s="8"/>
    </row>
    <row r="169" spans="1:12" ht="19.5" customHeight="1">
      <c r="A169" s="3"/>
      <c r="B169" s="3"/>
      <c r="C169" s="31" t="s">
        <v>49</v>
      </c>
      <c r="D169" s="108">
        <f>Lever4</f>
        <v>0.1</v>
      </c>
      <c r="E169" s="109"/>
      <c r="F169" s="110" t="s">
        <v>50</v>
      </c>
      <c r="G169" s="111"/>
      <c r="H169" s="36" t="s">
        <v>51</v>
      </c>
      <c r="I169" s="112" t="s">
        <v>52</v>
      </c>
      <c r="J169" s="112"/>
      <c r="K169" s="112"/>
      <c r="L169" s="8"/>
    </row>
    <row r="170" spans="1:12" ht="19.5" customHeight="1">
      <c r="A170" s="3"/>
      <c r="B170" s="3"/>
      <c r="C170" s="31" t="s">
        <v>53</v>
      </c>
      <c r="D170" s="117" t="str">
        <f>IF(AND(0.1&lt;=F147/一次側4,F147/一次側4&lt;=24),CONCATENATE(F147,"A"),"ERROR!")</f>
        <v>2500A</v>
      </c>
      <c r="E170" s="118"/>
      <c r="F170" s="110" t="s">
        <v>54</v>
      </c>
      <c r="G170" s="111"/>
      <c r="H170" s="119" t="s">
        <v>55</v>
      </c>
      <c r="I170" s="29" t="s">
        <v>53</v>
      </c>
      <c r="J170" s="112" t="s">
        <v>14</v>
      </c>
      <c r="K170" s="8"/>
      <c r="L170" s="8"/>
    </row>
    <row r="171" spans="1:12" ht="19.5" customHeight="1">
      <c r="A171" s="3"/>
      <c r="B171" s="3"/>
      <c r="C171" s="31" t="s">
        <v>56</v>
      </c>
      <c r="D171" s="120">
        <f>瞬跳時間4</f>
        <v>0.65</v>
      </c>
      <c r="E171" s="121"/>
      <c r="F171" s="122" t="s">
        <v>130</v>
      </c>
      <c r="G171" s="123"/>
      <c r="H171" s="119"/>
      <c r="I171" s="8" t="s">
        <v>57</v>
      </c>
      <c r="J171" s="112"/>
      <c r="K171" s="8"/>
      <c r="L171" s="8"/>
    </row>
    <row r="172" spans="1:12" ht="19.5" customHeight="1" thickBot="1">
      <c r="A172" s="3"/>
      <c r="B172" s="3"/>
      <c r="C172" s="37" t="s">
        <v>58</v>
      </c>
      <c r="D172" s="113" t="str">
        <f>K150</f>
        <v>EIT</v>
      </c>
      <c r="E172" s="114"/>
      <c r="F172" s="115"/>
      <c r="G172" s="116"/>
      <c r="H172" s="3"/>
      <c r="I172" s="8"/>
      <c r="J172" s="8"/>
      <c r="K172" s="8"/>
      <c r="L172" s="8"/>
    </row>
    <row r="173" spans="1:12" ht="19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 ht="19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ht="19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 ht="19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 ht="19.5" customHeight="1">
      <c r="A177" s="1" t="s">
        <v>110</v>
      </c>
      <c r="B177" s="1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9.5" customHeight="1" thickBot="1">
      <c r="A178" s="3"/>
      <c r="B178" s="3"/>
      <c r="C178" s="4" t="s">
        <v>4</v>
      </c>
      <c r="D178" s="4"/>
      <c r="E178" s="4"/>
      <c r="F178" s="4"/>
      <c r="G178" s="3"/>
      <c r="H178" s="3"/>
      <c r="I178" s="3"/>
      <c r="J178" s="3"/>
      <c r="K178" s="3"/>
      <c r="L178" s="3"/>
    </row>
    <row r="179" spans="1:12" ht="19.5" customHeight="1">
      <c r="A179" s="3"/>
      <c r="B179" s="3"/>
      <c r="C179" s="5" t="s">
        <v>5</v>
      </c>
      <c r="D179" s="6"/>
      <c r="E179" s="176" t="str">
        <f>coname5</f>
        <v>20Kv母联</v>
      </c>
      <c r="F179" s="176"/>
      <c r="G179" s="176"/>
      <c r="H179" s="6"/>
      <c r="I179" s="6"/>
      <c r="J179" s="6"/>
      <c r="K179" s="7"/>
      <c r="L179" s="3"/>
    </row>
    <row r="180" spans="1:12" ht="19.5" customHeight="1">
      <c r="A180" s="3"/>
      <c r="B180" s="3"/>
      <c r="C180" s="177" t="s">
        <v>6</v>
      </c>
      <c r="D180" s="178"/>
      <c r="E180" s="178"/>
      <c r="F180" s="8">
        <f>cokva5</f>
        <v>4500</v>
      </c>
      <c r="G180" s="9" t="s">
        <v>7</v>
      </c>
      <c r="H180" s="179"/>
      <c r="I180" s="178"/>
      <c r="J180" s="178"/>
      <c r="K180" s="180"/>
      <c r="L180" s="10"/>
    </row>
    <row r="181" spans="1:12" ht="19.5" customHeight="1">
      <c r="A181" s="3"/>
      <c r="B181" s="3"/>
      <c r="C181" s="163" t="s">
        <v>8</v>
      </c>
      <c r="D181" s="164"/>
      <c r="E181" s="164"/>
      <c r="F181" s="8">
        <f>covb5</f>
        <v>11.4</v>
      </c>
      <c r="G181" s="9" t="s">
        <v>9</v>
      </c>
      <c r="H181" s="165"/>
      <c r="I181" s="166"/>
      <c r="J181" s="166"/>
      <c r="K181" s="167"/>
      <c r="L181" s="10"/>
    </row>
    <row r="182" spans="1:12" ht="19.5" customHeight="1">
      <c r="A182" s="3"/>
      <c r="B182" s="3"/>
      <c r="C182" s="163" t="s">
        <v>10</v>
      </c>
      <c r="D182" s="164"/>
      <c r="E182" s="164"/>
      <c r="F182" s="8">
        <f>covt5</f>
        <v>11.4</v>
      </c>
      <c r="G182" s="9" t="s">
        <v>9</v>
      </c>
      <c r="H182" s="165"/>
      <c r="I182" s="166"/>
      <c r="J182" s="166"/>
      <c r="K182" s="167"/>
      <c r="L182" s="10"/>
    </row>
    <row r="183" spans="1:12" ht="19.5" customHeight="1">
      <c r="A183" s="3"/>
      <c r="B183" s="3"/>
      <c r="C183" s="163" t="s">
        <v>11</v>
      </c>
      <c r="D183" s="164"/>
      <c r="E183" s="164"/>
      <c r="F183" s="8">
        <f>L百分5</f>
        <v>100</v>
      </c>
      <c r="G183" s="9" t="s">
        <v>12</v>
      </c>
      <c r="H183" s="165"/>
      <c r="I183" s="166"/>
      <c r="J183" s="166"/>
      <c r="K183" s="167"/>
      <c r="L183" s="10"/>
    </row>
    <row r="184" spans="1:12" ht="19.5" customHeight="1">
      <c r="A184" s="11"/>
      <c r="B184" s="3"/>
      <c r="C184" s="163" t="s">
        <v>13</v>
      </c>
      <c r="D184" s="164"/>
      <c r="E184" s="164"/>
      <c r="F184" s="8" t="str">
        <f>CONCATENATE(一次側5,"/",二次側5)</f>
        <v>150/5</v>
      </c>
      <c r="G184" s="9" t="s">
        <v>14</v>
      </c>
      <c r="H184" s="165" t="str">
        <f>CONCATENATE("="," ",一次側5," / ",二次側5," ="," ",一次側5/二次側5)</f>
        <v>= 150 / 5 = 30</v>
      </c>
      <c r="I184" s="166"/>
      <c r="J184" s="166"/>
      <c r="K184" s="167"/>
      <c r="L184" s="10"/>
    </row>
    <row r="185" spans="1:12" ht="19.5" customHeight="1">
      <c r="A185" s="11"/>
      <c r="B185" s="3"/>
      <c r="C185" s="163" t="s">
        <v>15</v>
      </c>
      <c r="D185" s="164"/>
      <c r="E185" s="164"/>
      <c r="F185" s="8" t="str">
        <f>CONCATENATE(_Tc5,"In")</f>
        <v>1.52In</v>
      </c>
      <c r="G185" s="12" t="str">
        <f>CONCATENATE("=",_Tc5*二次側5,"A")</f>
        <v>=7.6A</v>
      </c>
      <c r="H185" s="173"/>
      <c r="I185" s="174"/>
      <c r="J185" s="174"/>
      <c r="K185" s="175"/>
      <c r="L185" s="13"/>
    </row>
    <row r="186" spans="1:12" ht="19.5" customHeight="1">
      <c r="A186" s="11"/>
      <c r="B186" s="3"/>
      <c r="C186" s="163" t="s">
        <v>16</v>
      </c>
      <c r="D186" s="164"/>
      <c r="E186" s="164"/>
      <c r="F186" s="8" t="str">
        <f>CONCATENATE(ROUND(_Ts5/一次側5,2),"In")</f>
        <v>2.53In</v>
      </c>
      <c r="G186" s="12" t="str">
        <f>CONCATENATE("=",ROUND(_Ts5*二次側5/一次側5,2),"A")</f>
        <v>=12.67A</v>
      </c>
      <c r="H186" s="165"/>
      <c r="I186" s="166"/>
      <c r="J186" s="166"/>
      <c r="K186" s="167"/>
      <c r="L186" s="10"/>
    </row>
    <row r="187" spans="1:12" ht="19.5" customHeight="1">
      <c r="A187" s="3"/>
      <c r="B187" s="3"/>
      <c r="C187" s="163" t="s">
        <v>17</v>
      </c>
      <c r="D187" s="164"/>
      <c r="E187" s="164"/>
      <c r="F187" s="8">
        <f>Isfive</f>
        <v>380</v>
      </c>
      <c r="G187" s="9" t="s">
        <v>18</v>
      </c>
      <c r="H187" s="165" t="str">
        <f>CONCATENATE("= ",_Ts5/一次側5," x ",一次側5," = ",Isfive)</f>
        <v>= 2.53333333333333 x 150 = 380</v>
      </c>
      <c r="I187" s="166"/>
      <c r="J187" s="166"/>
      <c r="K187" s="167"/>
      <c r="L187" s="10"/>
    </row>
    <row r="188" spans="1:12" ht="19.5" customHeight="1">
      <c r="A188" s="3"/>
      <c r="B188" s="3"/>
      <c r="C188" s="163" t="s">
        <v>19</v>
      </c>
      <c r="D188" s="164"/>
      <c r="E188" s="164"/>
      <c r="F188" s="8">
        <f>Lever5</f>
        <v>0.1</v>
      </c>
      <c r="G188" s="9" t="s">
        <v>14</v>
      </c>
      <c r="H188" s="165" t="str">
        <f>CONCATENATE("曲線 Lever = ",Lever5)</f>
        <v>曲線 Lever = 0.1</v>
      </c>
      <c r="I188" s="166"/>
      <c r="J188" s="166"/>
      <c r="K188" s="167"/>
      <c r="L188" s="10"/>
    </row>
    <row r="189" spans="1:12" ht="19.5" customHeight="1">
      <c r="A189" s="3"/>
      <c r="B189" s="3"/>
      <c r="C189" s="163" t="s">
        <v>20</v>
      </c>
      <c r="D189" s="164"/>
      <c r="E189" s="164"/>
      <c r="F189" s="8" t="str">
        <f>CONCATENATE(ROUND(F191/(一次側5/二次側5),2),"A")</f>
        <v>100A</v>
      </c>
      <c r="G189" s="15"/>
      <c r="H189" s="168"/>
      <c r="I189" s="169"/>
      <c r="J189" s="169"/>
      <c r="K189" s="170"/>
      <c r="L189" s="10"/>
    </row>
    <row r="190" spans="1:12" ht="19.5" customHeight="1">
      <c r="A190" s="3"/>
      <c r="B190" s="3"/>
      <c r="C190" s="171" t="s">
        <v>21</v>
      </c>
      <c r="D190" s="172"/>
      <c r="E190" s="172"/>
      <c r="F190" s="68">
        <f>1.2*Isfive</f>
        <v>456</v>
      </c>
      <c r="G190" s="69" t="s">
        <v>18</v>
      </c>
      <c r="H190" s="168" t="str">
        <f>CONCATENATE("= 120% Is = ",F190,"A")</f>
        <v>= 120% Is = 456A</v>
      </c>
      <c r="I190" s="169"/>
      <c r="J190" s="169"/>
      <c r="K190" s="170"/>
      <c r="L190" s="10"/>
    </row>
    <row r="191" spans="1:12" ht="19.5" customHeight="1">
      <c r="A191" s="3"/>
      <c r="B191" s="3"/>
      <c r="C191" s="158" t="s">
        <v>22</v>
      </c>
      <c r="D191" s="159"/>
      <c r="E191" s="159"/>
      <c r="F191" s="29">
        <f>IF(輸入瞬跳電流5=" ",10*Isfive,輸入瞬跳電流5)</f>
        <v>3000</v>
      </c>
      <c r="G191" s="40" t="s">
        <v>18</v>
      </c>
      <c r="H191" s="160" t="str">
        <f>CONCATENATE("基準值=10倍Is=",10*Isfive,";設定值=",輸入瞬跳電流5)</f>
        <v>基準值=10倍Is=3800;設定值=3000</v>
      </c>
      <c r="I191" s="161"/>
      <c r="J191" s="161"/>
      <c r="K191" s="162"/>
      <c r="L191" s="17"/>
    </row>
    <row r="192" spans="1:12" ht="19.5" customHeight="1">
      <c r="A192" s="3"/>
      <c r="B192" s="3"/>
      <c r="C192" s="147" t="s">
        <v>23</v>
      </c>
      <c r="D192" s="148"/>
      <c r="E192" s="148"/>
      <c r="F192" s="149" t="str">
        <f>协调曲线图!S37</f>
        <v>SEPAM T87</v>
      </c>
      <c r="G192" s="149"/>
      <c r="H192" s="149"/>
      <c r="I192" s="149"/>
      <c r="J192" s="149"/>
      <c r="K192" s="150"/>
      <c r="L192" s="10"/>
    </row>
    <row r="193" spans="1:12" ht="19.5" customHeight="1">
      <c r="A193" s="3"/>
      <c r="B193" s="3"/>
      <c r="C193" s="18" t="s">
        <v>24</v>
      </c>
      <c r="D193" s="19"/>
      <c r="E193" s="20" t="str">
        <f>CONCATENATE(一次側5,"/",二次側5)</f>
        <v>150/5</v>
      </c>
      <c r="F193" s="19" t="s">
        <v>25</v>
      </c>
      <c r="G193" s="19"/>
      <c r="H193" s="20" t="str">
        <f>CONCATENATE(一次側5,"A")</f>
        <v>150A</v>
      </c>
      <c r="I193" s="19" t="s">
        <v>26</v>
      </c>
      <c r="J193" s="19"/>
      <c r="K193" s="21">
        <f>Lever5</f>
        <v>0.1</v>
      </c>
      <c r="L193" s="22"/>
    </row>
    <row r="194" spans="1:12" ht="19.5" customHeight="1">
      <c r="A194" s="3"/>
      <c r="B194" s="3"/>
      <c r="C194" s="18" t="s">
        <v>27</v>
      </c>
      <c r="D194" s="19"/>
      <c r="E194" s="23" t="str">
        <f>CONCATENATE(F186,G186)</f>
        <v>2.53In=12.67A</v>
      </c>
      <c r="F194" s="19" t="s">
        <v>28</v>
      </c>
      <c r="G194" s="19"/>
      <c r="H194" s="20" t="str">
        <f>CONCATENATE(Isfive,"A")</f>
        <v>380A</v>
      </c>
      <c r="I194" s="19" t="s">
        <v>29</v>
      </c>
      <c r="J194" s="19"/>
      <c r="K194" s="24" t="str">
        <f>协调曲线图!S35</f>
        <v>EIT</v>
      </c>
      <c r="L194" s="8"/>
    </row>
    <row r="195" spans="1:12" ht="19.5" customHeight="1">
      <c r="A195" s="3"/>
      <c r="B195" s="3"/>
      <c r="C195" s="25" t="s">
        <v>126</v>
      </c>
      <c r="D195" s="26"/>
      <c r="E195" s="27" t="str">
        <f>F189</f>
        <v>100A</v>
      </c>
      <c r="F195" s="26" t="s">
        <v>30</v>
      </c>
      <c r="G195" s="26"/>
      <c r="H195" s="27" t="str">
        <f>CONCATENATE(F191,"A")</f>
        <v>3000A</v>
      </c>
      <c r="I195" s="26"/>
      <c r="J195" s="26"/>
      <c r="K195" s="28"/>
      <c r="L195" s="3"/>
    </row>
    <row r="196" spans="1:12" ht="19.5" customHeight="1">
      <c r="A196" s="3"/>
      <c r="B196" s="3"/>
      <c r="C196" s="151" t="s">
        <v>31</v>
      </c>
      <c r="D196" s="117" t="s">
        <v>32</v>
      </c>
      <c r="E196" s="153"/>
      <c r="F196" s="153"/>
      <c r="G196" s="118"/>
      <c r="H196" s="154" t="s">
        <v>33</v>
      </c>
      <c r="I196" s="127"/>
      <c r="J196" s="127"/>
      <c r="K196" s="155"/>
      <c r="L196" s="8"/>
    </row>
    <row r="197" spans="1:12" ht="19.5" customHeight="1">
      <c r="A197" s="3"/>
      <c r="B197" s="3"/>
      <c r="C197" s="152"/>
      <c r="D197" s="117" t="s">
        <v>34</v>
      </c>
      <c r="E197" s="118"/>
      <c r="F197" s="110" t="s">
        <v>35</v>
      </c>
      <c r="G197" s="118"/>
      <c r="H197" s="156"/>
      <c r="I197" s="124"/>
      <c r="J197" s="124"/>
      <c r="K197" s="157"/>
      <c r="L197" s="8"/>
    </row>
    <row r="198" spans="1:12" ht="19.5" customHeight="1">
      <c r="A198" s="30" t="s">
        <v>14</v>
      </c>
      <c r="B198" s="8"/>
      <c r="C198" s="31">
        <v>2</v>
      </c>
      <c r="D198" s="134">
        <f t="shared" ref="D198:D207" si="8">F198/(covb5/covt5)</f>
        <v>760</v>
      </c>
      <c r="E198" s="135"/>
      <c r="F198" s="136">
        <f t="shared" ref="F198:F206" si="9">Isfive*$C198</f>
        <v>760</v>
      </c>
      <c r="G198" s="137"/>
      <c r="H198" s="138">
        <f>曲線Lever計算!$V9</f>
        <v>3.3003300330033003</v>
      </c>
      <c r="I198" s="139"/>
      <c r="J198" s="139"/>
      <c r="K198" s="140"/>
      <c r="L198" s="32"/>
    </row>
    <row r="199" spans="1:12" ht="19.5" customHeight="1">
      <c r="B199" s="8"/>
      <c r="C199" s="55">
        <v>3</v>
      </c>
      <c r="D199" s="134">
        <f t="shared" si="8"/>
        <v>1140</v>
      </c>
      <c r="E199" s="135"/>
      <c r="F199" s="136">
        <f t="shared" si="9"/>
        <v>1140</v>
      </c>
      <c r="G199" s="137"/>
      <c r="H199" s="138">
        <f>曲線Lever計算!$V10</f>
        <v>1.2376237623762376</v>
      </c>
      <c r="I199" s="139"/>
      <c r="J199" s="139"/>
      <c r="K199" s="140"/>
      <c r="L199" s="32"/>
    </row>
    <row r="200" spans="1:12" ht="19.5" customHeight="1">
      <c r="B200" s="8"/>
      <c r="C200" s="55">
        <v>4</v>
      </c>
      <c r="D200" s="134">
        <f t="shared" si="8"/>
        <v>1520</v>
      </c>
      <c r="E200" s="135"/>
      <c r="F200" s="136">
        <f t="shared" si="9"/>
        <v>1520</v>
      </c>
      <c r="G200" s="137"/>
      <c r="H200" s="138">
        <f>曲線Lever計算!$V11</f>
        <v>0.85</v>
      </c>
      <c r="I200" s="139"/>
      <c r="J200" s="139"/>
      <c r="K200" s="140"/>
      <c r="L200" s="32"/>
    </row>
    <row r="201" spans="1:12" ht="19.5" customHeight="1">
      <c r="B201" s="33"/>
      <c r="C201" s="56">
        <v>5</v>
      </c>
      <c r="D201" s="134">
        <f t="shared" si="8"/>
        <v>1900</v>
      </c>
      <c r="E201" s="135"/>
      <c r="F201" s="136">
        <f t="shared" si="9"/>
        <v>1900</v>
      </c>
      <c r="G201" s="137"/>
      <c r="H201" s="138">
        <f>曲線Lever計算!$V12</f>
        <v>0.85</v>
      </c>
      <c r="I201" s="139"/>
      <c r="J201" s="139"/>
      <c r="K201" s="140"/>
      <c r="L201" s="32"/>
    </row>
    <row r="202" spans="1:12" ht="19.5" customHeight="1">
      <c r="B202" s="33"/>
      <c r="C202" s="56">
        <v>6</v>
      </c>
      <c r="D202" s="134">
        <f t="shared" si="8"/>
        <v>2280</v>
      </c>
      <c r="E202" s="135"/>
      <c r="F202" s="136">
        <f t="shared" si="9"/>
        <v>2280</v>
      </c>
      <c r="G202" s="137"/>
      <c r="H202" s="138">
        <f>曲線Lever計算!$V13</f>
        <v>0.85</v>
      </c>
      <c r="I202" s="139"/>
      <c r="J202" s="139"/>
      <c r="K202" s="140"/>
      <c r="L202" s="32"/>
    </row>
    <row r="203" spans="1:12" ht="19.5" customHeight="1">
      <c r="B203" s="33"/>
      <c r="C203" s="56">
        <v>7</v>
      </c>
      <c r="D203" s="134">
        <f t="shared" si="8"/>
        <v>2660</v>
      </c>
      <c r="E203" s="135"/>
      <c r="F203" s="136">
        <f t="shared" si="9"/>
        <v>2660</v>
      </c>
      <c r="G203" s="137"/>
      <c r="H203" s="138">
        <f>曲線Lever計算!$V14</f>
        <v>0.85</v>
      </c>
      <c r="I203" s="139"/>
      <c r="J203" s="139"/>
      <c r="K203" s="140"/>
      <c r="L203" s="32"/>
    </row>
    <row r="204" spans="1:12" ht="19.5" customHeight="1">
      <c r="B204" s="33"/>
      <c r="C204" s="56">
        <v>8</v>
      </c>
      <c r="D204" s="134">
        <f t="shared" si="8"/>
        <v>3040</v>
      </c>
      <c r="E204" s="135"/>
      <c r="F204" s="136">
        <f t="shared" si="9"/>
        <v>3040</v>
      </c>
      <c r="G204" s="137"/>
      <c r="H204" s="138">
        <f>曲線Lever計算!$V15</f>
        <v>0.85</v>
      </c>
      <c r="I204" s="139"/>
      <c r="J204" s="139"/>
      <c r="K204" s="140"/>
      <c r="L204" s="32"/>
    </row>
    <row r="205" spans="1:12" ht="19.5" customHeight="1">
      <c r="B205" s="33"/>
      <c r="C205" s="56">
        <v>9</v>
      </c>
      <c r="D205" s="134">
        <f t="shared" si="8"/>
        <v>3420</v>
      </c>
      <c r="E205" s="135"/>
      <c r="F205" s="136">
        <f t="shared" si="9"/>
        <v>3420</v>
      </c>
      <c r="G205" s="137"/>
      <c r="H205" s="138">
        <f>曲線Lever計算!$V16</f>
        <v>0.85</v>
      </c>
      <c r="I205" s="139"/>
      <c r="J205" s="139"/>
      <c r="K205" s="140"/>
      <c r="L205" s="32"/>
    </row>
    <row r="206" spans="1:12" ht="19.5" customHeight="1">
      <c r="B206" s="33"/>
      <c r="C206" s="56">
        <v>10</v>
      </c>
      <c r="D206" s="134">
        <f t="shared" si="8"/>
        <v>3800</v>
      </c>
      <c r="E206" s="135"/>
      <c r="F206" s="136">
        <f t="shared" si="9"/>
        <v>3800</v>
      </c>
      <c r="G206" s="137"/>
      <c r="H206" s="138">
        <f>曲線Lever計算!$V17</f>
        <v>0.85</v>
      </c>
      <c r="I206" s="139"/>
      <c r="J206" s="139"/>
      <c r="K206" s="140"/>
      <c r="L206" s="32"/>
    </row>
    <row r="207" spans="1:12" ht="19.5" customHeight="1" thickBot="1">
      <c r="B207" s="8"/>
      <c r="C207" s="34" t="s">
        <v>36</v>
      </c>
      <c r="D207" s="141">
        <f t="shared" si="8"/>
        <v>3000</v>
      </c>
      <c r="E207" s="142"/>
      <c r="F207" s="141">
        <f>F191</f>
        <v>3000</v>
      </c>
      <c r="G207" s="143"/>
      <c r="H207" s="144">
        <f>IF(瞬跳時間5=" ",0.025,瞬跳時間5)</f>
        <v>0.85</v>
      </c>
      <c r="I207" s="145"/>
      <c r="J207" s="145"/>
      <c r="K207" s="146"/>
      <c r="L207" s="32"/>
    </row>
    <row r="208" spans="1:12" ht="19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</row>
    <row r="209" spans="1:12" ht="19.5" customHeight="1" thickBot="1">
      <c r="A209" s="3"/>
      <c r="B209" s="3"/>
      <c r="C209" s="128" t="s">
        <v>37</v>
      </c>
      <c r="D209" s="128"/>
      <c r="E209" s="128"/>
      <c r="F209" s="3"/>
      <c r="G209" s="3"/>
      <c r="H209" s="3"/>
      <c r="I209" s="3"/>
      <c r="J209" s="3"/>
      <c r="K209" s="3"/>
      <c r="L209" s="3"/>
    </row>
    <row r="210" spans="1:12" ht="19.5" customHeight="1">
      <c r="A210" s="3"/>
      <c r="B210" s="3"/>
      <c r="C210" s="35" t="s">
        <v>38</v>
      </c>
      <c r="D210" s="129" t="str">
        <f>F192</f>
        <v>SEPAM T87</v>
      </c>
      <c r="E210" s="130"/>
      <c r="F210" s="131" t="s">
        <v>39</v>
      </c>
      <c r="G210" s="132"/>
      <c r="H210" s="119" t="s">
        <v>40</v>
      </c>
      <c r="I210" s="124" t="s">
        <v>41</v>
      </c>
      <c r="J210" s="124"/>
      <c r="K210" s="124"/>
      <c r="L210" s="8"/>
    </row>
    <row r="211" spans="1:12" ht="19.5" customHeight="1">
      <c r="A211" s="3"/>
      <c r="B211" s="3"/>
      <c r="C211" s="31" t="s">
        <v>42</v>
      </c>
      <c r="D211" s="125" t="str">
        <f>CONCATENATE(一次側5,"A")</f>
        <v>150A</v>
      </c>
      <c r="E211" s="126"/>
      <c r="F211" s="110" t="s">
        <v>43</v>
      </c>
      <c r="G211" s="111"/>
      <c r="H211" s="119"/>
      <c r="I211" s="127" t="s">
        <v>44</v>
      </c>
      <c r="J211" s="127"/>
      <c r="K211" s="127"/>
      <c r="L211" s="8"/>
    </row>
    <row r="212" spans="1:12" ht="19.5" customHeight="1">
      <c r="A212" s="3" t="s">
        <v>14</v>
      </c>
      <c r="B212" s="3"/>
      <c r="C212" s="31" t="s">
        <v>45</v>
      </c>
      <c r="D212" s="117" t="str">
        <f>IF(AND(0.1&lt;=Isfive/一次側5,Isfive/一次側5&lt;=2.4),CONCATENATE(Isfive,"A"),"ERROR!")</f>
        <v>ERROR!</v>
      </c>
      <c r="E212" s="118"/>
      <c r="F212" s="110" t="s">
        <v>46</v>
      </c>
      <c r="G212" s="111"/>
      <c r="H212" s="70" t="s">
        <v>47</v>
      </c>
      <c r="I212" s="133" t="s">
        <v>48</v>
      </c>
      <c r="J212" s="133"/>
      <c r="K212" s="133"/>
      <c r="L212" s="8"/>
    </row>
    <row r="213" spans="1:12" ht="19.5" customHeight="1">
      <c r="A213" s="3"/>
      <c r="B213" s="3"/>
      <c r="C213" s="31" t="s">
        <v>49</v>
      </c>
      <c r="D213" s="108">
        <f>Lever5</f>
        <v>0.1</v>
      </c>
      <c r="E213" s="109"/>
      <c r="F213" s="110" t="s">
        <v>50</v>
      </c>
      <c r="G213" s="111"/>
      <c r="H213" s="36" t="s">
        <v>51</v>
      </c>
      <c r="I213" s="112" t="s">
        <v>52</v>
      </c>
      <c r="J213" s="112"/>
      <c r="K213" s="112"/>
      <c r="L213" s="8"/>
    </row>
    <row r="214" spans="1:12" ht="19.5" customHeight="1">
      <c r="A214" s="3"/>
      <c r="B214" s="3"/>
      <c r="C214" s="31" t="s">
        <v>53</v>
      </c>
      <c r="D214" s="117" t="str">
        <f>IF(AND(0.1&lt;=F191/一次側5,F191/一次側5&lt;=24),CONCATENATE(F191,"A"),"ERROR!")</f>
        <v>3000A</v>
      </c>
      <c r="E214" s="118"/>
      <c r="F214" s="110" t="s">
        <v>54</v>
      </c>
      <c r="G214" s="111"/>
      <c r="H214" s="119" t="s">
        <v>55</v>
      </c>
      <c r="I214" s="29" t="s">
        <v>53</v>
      </c>
      <c r="J214" s="112" t="s">
        <v>14</v>
      </c>
      <c r="K214" s="8"/>
      <c r="L214" s="8"/>
    </row>
    <row r="215" spans="1:12" ht="19.5" customHeight="1">
      <c r="A215" s="3"/>
      <c r="B215" s="3"/>
      <c r="C215" s="31" t="s">
        <v>56</v>
      </c>
      <c r="D215" s="120">
        <f>瞬跳時間5</f>
        <v>0.85</v>
      </c>
      <c r="E215" s="121"/>
      <c r="F215" s="122" t="s">
        <v>130</v>
      </c>
      <c r="G215" s="123"/>
      <c r="H215" s="119"/>
      <c r="I215" s="8" t="s">
        <v>57</v>
      </c>
      <c r="J215" s="112"/>
      <c r="K215" s="8"/>
      <c r="L215" s="8"/>
    </row>
    <row r="216" spans="1:12" ht="19.5" customHeight="1" thickBot="1">
      <c r="A216" s="3"/>
      <c r="B216" s="3"/>
      <c r="C216" s="37" t="s">
        <v>58</v>
      </c>
      <c r="D216" s="113" t="str">
        <f>K194</f>
        <v>EIT</v>
      </c>
      <c r="E216" s="114"/>
      <c r="F216" s="115"/>
      <c r="G216" s="116"/>
      <c r="H216" s="3"/>
      <c r="I216" s="8"/>
      <c r="J216" s="8"/>
      <c r="K216" s="8"/>
      <c r="L216" s="8"/>
    </row>
    <row r="217" spans="1:12" ht="19.5" customHeight="1">
      <c r="A217" s="3"/>
      <c r="B217" s="3"/>
      <c r="C217" s="54"/>
      <c r="D217" s="54"/>
      <c r="E217" s="54"/>
      <c r="F217" s="54"/>
      <c r="G217" s="54"/>
      <c r="H217" s="3"/>
      <c r="I217" s="8"/>
      <c r="J217" s="8"/>
      <c r="K217" s="8"/>
      <c r="L217" s="8"/>
    </row>
    <row r="218" spans="1:12" ht="19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</row>
    <row r="219" spans="1:12" ht="19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</row>
    <row r="220" spans="1:12" ht="19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</row>
    <row r="221" spans="1:12" ht="19.5" customHeight="1">
      <c r="A221" s="1" t="s">
        <v>114</v>
      </c>
      <c r="B221" s="1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ht="19.5" customHeight="1" thickBot="1">
      <c r="A222" s="3"/>
      <c r="B222" s="3"/>
      <c r="C222" s="4" t="s">
        <v>4</v>
      </c>
      <c r="D222" s="4"/>
      <c r="E222" s="4"/>
      <c r="F222" s="4"/>
      <c r="G222" s="3"/>
      <c r="H222" s="3"/>
      <c r="I222" s="3"/>
      <c r="J222" s="3"/>
      <c r="K222" s="3"/>
      <c r="L222" s="3"/>
    </row>
    <row r="223" spans="1:12" ht="19.5" customHeight="1">
      <c r="A223" s="3"/>
      <c r="B223" s="3"/>
      <c r="C223" s="5" t="s">
        <v>5</v>
      </c>
      <c r="D223" s="6"/>
      <c r="E223" s="176" t="str">
        <f>coname6</f>
        <v>20Kv进线</v>
      </c>
      <c r="F223" s="176"/>
      <c r="G223" s="176"/>
      <c r="H223" s="6"/>
      <c r="I223" s="6"/>
      <c r="J223" s="6"/>
      <c r="K223" s="7"/>
      <c r="L223" s="3"/>
    </row>
    <row r="224" spans="1:12" ht="19.5" customHeight="1">
      <c r="A224" s="3"/>
      <c r="B224" s="3"/>
      <c r="C224" s="177" t="s">
        <v>6</v>
      </c>
      <c r="D224" s="178"/>
      <c r="E224" s="178"/>
      <c r="F224" s="8">
        <f>cokva6</f>
        <v>6000</v>
      </c>
      <c r="G224" s="9" t="s">
        <v>7</v>
      </c>
      <c r="H224" s="179"/>
      <c r="I224" s="178"/>
      <c r="J224" s="178"/>
      <c r="K224" s="180"/>
      <c r="L224" s="10"/>
    </row>
    <row r="225" spans="1:12" ht="19.5" customHeight="1">
      <c r="A225" s="3"/>
      <c r="B225" s="3"/>
      <c r="C225" s="163" t="s">
        <v>8</v>
      </c>
      <c r="D225" s="164"/>
      <c r="E225" s="164"/>
      <c r="F225" s="8">
        <f>covb6</f>
        <v>11.4</v>
      </c>
      <c r="G225" s="9" t="s">
        <v>9</v>
      </c>
      <c r="H225" s="165"/>
      <c r="I225" s="166"/>
      <c r="J225" s="166"/>
      <c r="K225" s="167"/>
      <c r="L225" s="10"/>
    </row>
    <row r="226" spans="1:12" ht="19.5" customHeight="1">
      <c r="A226" s="3"/>
      <c r="B226" s="3"/>
      <c r="C226" s="163" t="s">
        <v>10</v>
      </c>
      <c r="D226" s="164"/>
      <c r="E226" s="164"/>
      <c r="F226" s="8">
        <f>covt6</f>
        <v>11.4</v>
      </c>
      <c r="G226" s="9" t="s">
        <v>9</v>
      </c>
      <c r="H226" s="165"/>
      <c r="I226" s="166"/>
      <c r="J226" s="166"/>
      <c r="K226" s="167"/>
      <c r="L226" s="10"/>
    </row>
    <row r="227" spans="1:12" ht="19.5" customHeight="1">
      <c r="A227" s="3"/>
      <c r="B227" s="3"/>
      <c r="C227" s="163" t="s">
        <v>11</v>
      </c>
      <c r="D227" s="164"/>
      <c r="E227" s="164"/>
      <c r="F227" s="8">
        <f>L百分6</f>
        <v>100</v>
      </c>
      <c r="G227" s="9" t="s">
        <v>12</v>
      </c>
      <c r="H227" s="165"/>
      <c r="I227" s="166"/>
      <c r="J227" s="166"/>
      <c r="K227" s="167"/>
      <c r="L227" s="10"/>
    </row>
    <row r="228" spans="1:12" ht="19.5" customHeight="1">
      <c r="A228" s="11"/>
      <c r="B228" s="3"/>
      <c r="C228" s="163" t="s">
        <v>13</v>
      </c>
      <c r="D228" s="164"/>
      <c r="E228" s="164"/>
      <c r="F228" s="8" t="str">
        <f>CONCATENATE(一次側6,"/",二次側6)</f>
        <v>150/5</v>
      </c>
      <c r="G228" s="9" t="s">
        <v>14</v>
      </c>
      <c r="H228" s="165" t="str">
        <f>CONCATENATE("="," ",一次側6," / ",二次側6," ="," ",一次側6/二次側6)</f>
        <v>= 150 / 5 = 30</v>
      </c>
      <c r="I228" s="166"/>
      <c r="J228" s="166"/>
      <c r="K228" s="167"/>
      <c r="L228" s="10"/>
    </row>
    <row r="229" spans="1:12" ht="19.5" customHeight="1">
      <c r="A229" s="11"/>
      <c r="B229" s="3"/>
      <c r="C229" s="163" t="s">
        <v>15</v>
      </c>
      <c r="D229" s="164"/>
      <c r="E229" s="164"/>
      <c r="F229" s="8" t="str">
        <f>CONCATENATE(_Tc6,"In")</f>
        <v>2.03In</v>
      </c>
      <c r="G229" s="12" t="str">
        <f>CONCATENATE("=",_Tc6*二次側6,"A")</f>
        <v>=10.15A</v>
      </c>
      <c r="H229" s="173"/>
      <c r="I229" s="174"/>
      <c r="J229" s="174"/>
      <c r="K229" s="175"/>
      <c r="L229" s="13"/>
    </row>
    <row r="230" spans="1:12" ht="19.5" customHeight="1">
      <c r="A230" s="11"/>
      <c r="B230" s="3"/>
      <c r="C230" s="163" t="s">
        <v>16</v>
      </c>
      <c r="D230" s="164"/>
      <c r="E230" s="164"/>
      <c r="F230" s="8" t="str">
        <f>CONCATENATE(ROUND(_Ts6/一次側6,2),"In")</f>
        <v>3.33In</v>
      </c>
      <c r="G230" s="12" t="str">
        <f>CONCATENATE("=",ROUND(_Ts6*二次側6/一次側6,2),"A")</f>
        <v>=16.67A</v>
      </c>
      <c r="H230" s="165"/>
      <c r="I230" s="166"/>
      <c r="J230" s="166"/>
      <c r="K230" s="167"/>
      <c r="L230" s="10"/>
    </row>
    <row r="231" spans="1:12" ht="19.5" customHeight="1">
      <c r="A231" s="3"/>
      <c r="B231" s="3"/>
      <c r="C231" s="163" t="s">
        <v>17</v>
      </c>
      <c r="D231" s="164"/>
      <c r="E231" s="164"/>
      <c r="F231" s="8">
        <f>Issix</f>
        <v>500</v>
      </c>
      <c r="G231" s="9" t="s">
        <v>18</v>
      </c>
      <c r="H231" s="165" t="str">
        <f>CONCATENATE("= ",_Ts6/一次側6," x ",一次側6," = ",Issix)</f>
        <v>= 3.33333333333333 x 150 = 500</v>
      </c>
      <c r="I231" s="166"/>
      <c r="J231" s="166"/>
      <c r="K231" s="167"/>
      <c r="L231" s="10"/>
    </row>
    <row r="232" spans="1:12" ht="19.5" customHeight="1">
      <c r="A232" s="3"/>
      <c r="B232" s="3"/>
      <c r="C232" s="163" t="s">
        <v>19</v>
      </c>
      <c r="D232" s="164"/>
      <c r="E232" s="164"/>
      <c r="F232" s="8">
        <f>Lever6</f>
        <v>0.1</v>
      </c>
      <c r="G232" s="9" t="s">
        <v>14</v>
      </c>
      <c r="H232" s="165" t="str">
        <f>CONCATENATE("曲線 Lever = ",Lever6)</f>
        <v>曲線 Lever = 0.1</v>
      </c>
      <c r="I232" s="166"/>
      <c r="J232" s="166"/>
      <c r="K232" s="167"/>
      <c r="L232" s="10"/>
    </row>
    <row r="233" spans="1:12" ht="19.5" customHeight="1">
      <c r="A233" s="3"/>
      <c r="B233" s="3"/>
      <c r="C233" s="163" t="s">
        <v>20</v>
      </c>
      <c r="D233" s="164"/>
      <c r="E233" s="164"/>
      <c r="F233" s="8" t="str">
        <f>CONCATENATE(ROUND(F235/(一次側6/二次側6),2),"A")</f>
        <v>166.67A</v>
      </c>
      <c r="G233" s="15"/>
      <c r="H233" s="168"/>
      <c r="I233" s="169"/>
      <c r="J233" s="169"/>
      <c r="K233" s="170"/>
      <c r="L233" s="10"/>
    </row>
    <row r="234" spans="1:12" ht="19.5" customHeight="1">
      <c r="A234" s="3"/>
      <c r="B234" s="3"/>
      <c r="C234" s="171" t="s">
        <v>21</v>
      </c>
      <c r="D234" s="172"/>
      <c r="E234" s="172"/>
      <c r="F234" s="68">
        <f>1.2*Issix</f>
        <v>600</v>
      </c>
      <c r="G234" s="69" t="s">
        <v>18</v>
      </c>
      <c r="H234" s="168" t="str">
        <f>CONCATENATE("= 120% Is = ",F234,"A")</f>
        <v>= 120% Is = 600A</v>
      </c>
      <c r="I234" s="169"/>
      <c r="J234" s="169"/>
      <c r="K234" s="170"/>
      <c r="L234" s="10"/>
    </row>
    <row r="235" spans="1:12" ht="19.5" customHeight="1">
      <c r="A235" s="3"/>
      <c r="B235" s="3"/>
      <c r="C235" s="158" t="s">
        <v>22</v>
      </c>
      <c r="D235" s="159"/>
      <c r="E235" s="159"/>
      <c r="F235" s="29">
        <f>IF(輸入瞬跳電流6=" ",10*Issix,輸入瞬跳電流6)</f>
        <v>5000</v>
      </c>
      <c r="G235" s="40" t="s">
        <v>18</v>
      </c>
      <c r="H235" s="160" t="str">
        <f>CONCATENATE("基準值=10倍Is=",10*Issix,";設定值=",輸入瞬跳電流6)</f>
        <v>基準值=10倍Is=5000;設定值=5000</v>
      </c>
      <c r="I235" s="161"/>
      <c r="J235" s="161"/>
      <c r="K235" s="162"/>
      <c r="L235" s="17"/>
    </row>
    <row r="236" spans="1:12" ht="19.5" customHeight="1">
      <c r="A236" s="3"/>
      <c r="B236" s="3"/>
      <c r="C236" s="147" t="s">
        <v>23</v>
      </c>
      <c r="D236" s="148"/>
      <c r="E236" s="148"/>
      <c r="F236" s="149" t="str">
        <f>协调曲线图!S44</f>
        <v>SEPAM M87</v>
      </c>
      <c r="G236" s="149"/>
      <c r="H236" s="149"/>
      <c r="I236" s="149"/>
      <c r="J236" s="149"/>
      <c r="K236" s="150"/>
      <c r="L236" s="10"/>
    </row>
    <row r="237" spans="1:12" ht="19.5" customHeight="1">
      <c r="A237" s="3"/>
      <c r="B237" s="3"/>
      <c r="C237" s="18" t="s">
        <v>24</v>
      </c>
      <c r="D237" s="19"/>
      <c r="E237" s="20" t="str">
        <f>CONCATENATE(一次側6,"/",二次側6)</f>
        <v>150/5</v>
      </c>
      <c r="F237" s="19" t="s">
        <v>25</v>
      </c>
      <c r="G237" s="19"/>
      <c r="H237" s="20" t="str">
        <f>CONCATENATE(一次側6,"A")</f>
        <v>150A</v>
      </c>
      <c r="I237" s="19" t="s">
        <v>26</v>
      </c>
      <c r="J237" s="19"/>
      <c r="K237" s="21">
        <f>Lever6</f>
        <v>0.1</v>
      </c>
      <c r="L237" s="22"/>
    </row>
    <row r="238" spans="1:12" ht="19.5" customHeight="1">
      <c r="A238" s="3"/>
      <c r="B238" s="3"/>
      <c r="C238" s="18" t="s">
        <v>27</v>
      </c>
      <c r="D238" s="19"/>
      <c r="E238" s="23" t="str">
        <f>CONCATENATE(F230,G230)</f>
        <v>3.33In=16.67A</v>
      </c>
      <c r="F238" s="19" t="s">
        <v>28</v>
      </c>
      <c r="G238" s="19"/>
      <c r="H238" s="20" t="str">
        <f>CONCATENATE(Issix,"A")</f>
        <v>500A</v>
      </c>
      <c r="I238" s="19" t="s">
        <v>29</v>
      </c>
      <c r="J238" s="19"/>
      <c r="K238" s="24" t="str">
        <f>协调曲线图!S42</f>
        <v>EIT</v>
      </c>
      <c r="L238" s="8"/>
    </row>
    <row r="239" spans="1:12" ht="19.5" customHeight="1">
      <c r="A239" s="3"/>
      <c r="B239" s="3"/>
      <c r="C239" s="25" t="s">
        <v>126</v>
      </c>
      <c r="D239" s="26"/>
      <c r="E239" s="27" t="str">
        <f>F233</f>
        <v>166.67A</v>
      </c>
      <c r="F239" s="26" t="s">
        <v>30</v>
      </c>
      <c r="G239" s="26"/>
      <c r="H239" s="27" t="str">
        <f>CONCATENATE(F235,"A")</f>
        <v>5000A</v>
      </c>
      <c r="I239" s="26"/>
      <c r="J239" s="26"/>
      <c r="K239" s="28"/>
      <c r="L239" s="3"/>
    </row>
    <row r="240" spans="1:12" ht="19.5" customHeight="1">
      <c r="A240" s="3"/>
      <c r="B240" s="3"/>
      <c r="C240" s="151" t="s">
        <v>31</v>
      </c>
      <c r="D240" s="117" t="s">
        <v>32</v>
      </c>
      <c r="E240" s="153"/>
      <c r="F240" s="153"/>
      <c r="G240" s="118"/>
      <c r="H240" s="154" t="s">
        <v>33</v>
      </c>
      <c r="I240" s="127"/>
      <c r="J240" s="127"/>
      <c r="K240" s="155"/>
      <c r="L240" s="8"/>
    </row>
    <row r="241" spans="1:12" ht="19.5" customHeight="1">
      <c r="A241" s="3"/>
      <c r="B241" s="3"/>
      <c r="C241" s="152"/>
      <c r="D241" s="117" t="s">
        <v>34</v>
      </c>
      <c r="E241" s="118"/>
      <c r="F241" s="110" t="s">
        <v>35</v>
      </c>
      <c r="G241" s="118"/>
      <c r="H241" s="156"/>
      <c r="I241" s="124"/>
      <c r="J241" s="124"/>
      <c r="K241" s="157"/>
      <c r="L241" s="8"/>
    </row>
    <row r="242" spans="1:12" ht="19.5" customHeight="1">
      <c r="A242" s="30" t="s">
        <v>14</v>
      </c>
      <c r="B242" s="8"/>
      <c r="C242" s="31">
        <v>2</v>
      </c>
      <c r="D242" s="134">
        <f t="shared" ref="D242:D251" si="10">F242/(covb6/covt6)</f>
        <v>1000</v>
      </c>
      <c r="E242" s="135"/>
      <c r="F242" s="136">
        <f t="shared" ref="F242:F250" si="11">Issix*$C242</f>
        <v>1000</v>
      </c>
      <c r="G242" s="137"/>
      <c r="H242" s="138">
        <f>曲線Lever計算!$AA9</f>
        <v>3.3003300330033003</v>
      </c>
      <c r="I242" s="139"/>
      <c r="J242" s="139"/>
      <c r="K242" s="140"/>
      <c r="L242" s="32"/>
    </row>
    <row r="243" spans="1:12" ht="19.5" customHeight="1">
      <c r="B243" s="8"/>
      <c r="C243" s="55">
        <v>3</v>
      </c>
      <c r="D243" s="134">
        <f t="shared" si="10"/>
        <v>1500</v>
      </c>
      <c r="E243" s="135"/>
      <c r="F243" s="136">
        <f t="shared" si="11"/>
        <v>1500</v>
      </c>
      <c r="G243" s="137"/>
      <c r="H243" s="138">
        <f>曲線Lever計算!$AA10</f>
        <v>1.2376237623762376</v>
      </c>
      <c r="I243" s="139"/>
      <c r="J243" s="139"/>
      <c r="K243" s="140"/>
      <c r="L243" s="32"/>
    </row>
    <row r="244" spans="1:12" ht="19.5" customHeight="1">
      <c r="B244" s="8"/>
      <c r="C244" s="55">
        <v>4</v>
      </c>
      <c r="D244" s="134">
        <f t="shared" si="10"/>
        <v>2000</v>
      </c>
      <c r="E244" s="135"/>
      <c r="F244" s="136">
        <f t="shared" si="11"/>
        <v>2000</v>
      </c>
      <c r="G244" s="137"/>
      <c r="H244" s="138">
        <f>曲線Lever計算!$AA11</f>
        <v>1.05</v>
      </c>
      <c r="I244" s="139"/>
      <c r="J244" s="139"/>
      <c r="K244" s="140"/>
      <c r="L244" s="32"/>
    </row>
    <row r="245" spans="1:12" ht="19.5" customHeight="1">
      <c r="B245" s="33"/>
      <c r="C245" s="56">
        <v>5</v>
      </c>
      <c r="D245" s="134">
        <f t="shared" si="10"/>
        <v>2500</v>
      </c>
      <c r="E245" s="135"/>
      <c r="F245" s="136">
        <f t="shared" si="11"/>
        <v>2500</v>
      </c>
      <c r="G245" s="137"/>
      <c r="H245" s="138">
        <f>曲線Lever計算!$AA12</f>
        <v>1.05</v>
      </c>
      <c r="I245" s="139"/>
      <c r="J245" s="139"/>
      <c r="K245" s="140"/>
      <c r="L245" s="32"/>
    </row>
    <row r="246" spans="1:12" ht="19.5" customHeight="1">
      <c r="B246" s="33"/>
      <c r="C246" s="56">
        <v>6</v>
      </c>
      <c r="D246" s="134">
        <f t="shared" si="10"/>
        <v>3000</v>
      </c>
      <c r="E246" s="135"/>
      <c r="F246" s="136">
        <f t="shared" si="11"/>
        <v>3000</v>
      </c>
      <c r="G246" s="137"/>
      <c r="H246" s="138">
        <f>曲線Lever計算!$AA13</f>
        <v>1.05</v>
      </c>
      <c r="I246" s="139"/>
      <c r="J246" s="139"/>
      <c r="K246" s="140"/>
      <c r="L246" s="32"/>
    </row>
    <row r="247" spans="1:12" ht="19.5" customHeight="1">
      <c r="B247" s="33"/>
      <c r="C247" s="56">
        <v>7</v>
      </c>
      <c r="D247" s="134">
        <f t="shared" si="10"/>
        <v>3500</v>
      </c>
      <c r="E247" s="135"/>
      <c r="F247" s="136">
        <f t="shared" si="11"/>
        <v>3500</v>
      </c>
      <c r="G247" s="137"/>
      <c r="H247" s="138">
        <f>曲線Lever計算!$AA14</f>
        <v>1.05</v>
      </c>
      <c r="I247" s="139"/>
      <c r="J247" s="139"/>
      <c r="K247" s="140"/>
      <c r="L247" s="32"/>
    </row>
    <row r="248" spans="1:12" ht="19.5" customHeight="1">
      <c r="B248" s="33"/>
      <c r="C248" s="56">
        <v>8</v>
      </c>
      <c r="D248" s="134">
        <f t="shared" si="10"/>
        <v>4000</v>
      </c>
      <c r="E248" s="135"/>
      <c r="F248" s="136">
        <f t="shared" si="11"/>
        <v>4000</v>
      </c>
      <c r="G248" s="137"/>
      <c r="H248" s="138">
        <f>曲線Lever計算!$AA15</f>
        <v>1.05</v>
      </c>
      <c r="I248" s="139"/>
      <c r="J248" s="139"/>
      <c r="K248" s="140"/>
      <c r="L248" s="32"/>
    </row>
    <row r="249" spans="1:12" ht="19.5" customHeight="1">
      <c r="B249" s="33"/>
      <c r="C249" s="56">
        <v>9</v>
      </c>
      <c r="D249" s="134">
        <f t="shared" si="10"/>
        <v>4500</v>
      </c>
      <c r="E249" s="135"/>
      <c r="F249" s="136">
        <f t="shared" si="11"/>
        <v>4500</v>
      </c>
      <c r="G249" s="137"/>
      <c r="H249" s="138">
        <f>曲線Lever計算!$AA16</f>
        <v>1.05</v>
      </c>
      <c r="I249" s="139"/>
      <c r="J249" s="139"/>
      <c r="K249" s="140"/>
      <c r="L249" s="32"/>
    </row>
    <row r="250" spans="1:12" ht="19.5" customHeight="1">
      <c r="B250" s="33"/>
      <c r="C250" s="56">
        <v>10</v>
      </c>
      <c r="D250" s="134">
        <f t="shared" si="10"/>
        <v>5000</v>
      </c>
      <c r="E250" s="135"/>
      <c r="F250" s="136">
        <f t="shared" si="11"/>
        <v>5000</v>
      </c>
      <c r="G250" s="137"/>
      <c r="H250" s="138">
        <f>曲線Lever計算!$AA17</f>
        <v>1.05</v>
      </c>
      <c r="I250" s="139"/>
      <c r="J250" s="139"/>
      <c r="K250" s="140"/>
      <c r="L250" s="32"/>
    </row>
    <row r="251" spans="1:12" ht="19.5" customHeight="1" thickBot="1">
      <c r="B251" s="8"/>
      <c r="C251" s="34" t="s">
        <v>36</v>
      </c>
      <c r="D251" s="141">
        <f t="shared" si="10"/>
        <v>5000</v>
      </c>
      <c r="E251" s="142"/>
      <c r="F251" s="141">
        <f>F235</f>
        <v>5000</v>
      </c>
      <c r="G251" s="143"/>
      <c r="H251" s="144">
        <f>IF(瞬跳時間6=" ",0.025,瞬跳時間6)</f>
        <v>1.05</v>
      </c>
      <c r="I251" s="145"/>
      <c r="J251" s="145"/>
      <c r="K251" s="146"/>
      <c r="L251" s="32"/>
    </row>
    <row r="252" spans="1:12" ht="19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</row>
    <row r="253" spans="1:12" ht="19.5" customHeight="1" thickBot="1">
      <c r="A253" s="3"/>
      <c r="B253" s="3"/>
      <c r="C253" s="128" t="s">
        <v>37</v>
      </c>
      <c r="D253" s="128"/>
      <c r="E253" s="128"/>
      <c r="F253" s="3"/>
      <c r="G253" s="3"/>
      <c r="H253" s="3"/>
      <c r="I253" s="3"/>
      <c r="J253" s="3"/>
      <c r="K253" s="3"/>
      <c r="L253" s="3"/>
    </row>
    <row r="254" spans="1:12" ht="19.5" customHeight="1">
      <c r="A254" s="3"/>
      <c r="B254" s="3"/>
      <c r="C254" s="35" t="s">
        <v>38</v>
      </c>
      <c r="D254" s="129" t="str">
        <f>F236</f>
        <v>SEPAM M87</v>
      </c>
      <c r="E254" s="130"/>
      <c r="F254" s="131" t="s">
        <v>39</v>
      </c>
      <c r="G254" s="132"/>
      <c r="H254" s="119" t="s">
        <v>40</v>
      </c>
      <c r="I254" s="124" t="s">
        <v>41</v>
      </c>
      <c r="J254" s="124"/>
      <c r="K254" s="124"/>
      <c r="L254" s="8"/>
    </row>
    <row r="255" spans="1:12" ht="19.5" customHeight="1">
      <c r="A255" s="3"/>
      <c r="B255" s="3"/>
      <c r="C255" s="31" t="s">
        <v>42</v>
      </c>
      <c r="D255" s="125" t="str">
        <f>CONCATENATE(一次側6,"A")</f>
        <v>150A</v>
      </c>
      <c r="E255" s="126"/>
      <c r="F255" s="110" t="s">
        <v>43</v>
      </c>
      <c r="G255" s="111"/>
      <c r="H255" s="119"/>
      <c r="I255" s="127" t="s">
        <v>44</v>
      </c>
      <c r="J255" s="127"/>
      <c r="K255" s="127"/>
      <c r="L255" s="8"/>
    </row>
    <row r="256" spans="1:12" ht="19.5" customHeight="1">
      <c r="A256" s="3" t="s">
        <v>14</v>
      </c>
      <c r="B256" s="3"/>
      <c r="C256" s="31" t="s">
        <v>45</v>
      </c>
      <c r="D256" s="117" t="str">
        <f>IF(AND(0.1&lt;=Issix/一次側6,Issix/一次側6&lt;=2.4),CONCATENATE(Issix,"A"),"ERROR!")</f>
        <v>ERROR!</v>
      </c>
      <c r="E256" s="118"/>
      <c r="F256" s="110" t="s">
        <v>46</v>
      </c>
      <c r="G256" s="111"/>
      <c r="H256" s="70" t="s">
        <v>47</v>
      </c>
      <c r="I256" s="133" t="s">
        <v>48</v>
      </c>
      <c r="J256" s="133"/>
      <c r="K256" s="133"/>
      <c r="L256" s="8"/>
    </row>
    <row r="257" spans="1:12" ht="19.5" customHeight="1">
      <c r="A257" s="3"/>
      <c r="B257" s="3"/>
      <c r="C257" s="31" t="s">
        <v>49</v>
      </c>
      <c r="D257" s="108">
        <f>Lever6</f>
        <v>0.1</v>
      </c>
      <c r="E257" s="109"/>
      <c r="F257" s="110" t="s">
        <v>50</v>
      </c>
      <c r="G257" s="111"/>
      <c r="H257" s="36" t="s">
        <v>51</v>
      </c>
      <c r="I257" s="112" t="s">
        <v>52</v>
      </c>
      <c r="J257" s="112"/>
      <c r="K257" s="112"/>
      <c r="L257" s="8"/>
    </row>
    <row r="258" spans="1:12" ht="19.5" customHeight="1">
      <c r="A258" s="3"/>
      <c r="B258" s="3"/>
      <c r="C258" s="31" t="s">
        <v>53</v>
      </c>
      <c r="D258" s="117" t="str">
        <f>IF(AND(0.1&lt;=F235/一次側6,F235/一次側6&lt;=24),CONCATENATE(F235,"A"),"ERROR!")</f>
        <v>ERROR!</v>
      </c>
      <c r="E258" s="118"/>
      <c r="F258" s="110" t="s">
        <v>54</v>
      </c>
      <c r="G258" s="111"/>
      <c r="H258" s="119" t="s">
        <v>55</v>
      </c>
      <c r="I258" s="29" t="s">
        <v>53</v>
      </c>
      <c r="J258" s="112" t="s">
        <v>14</v>
      </c>
      <c r="K258" s="8"/>
      <c r="L258" s="8"/>
    </row>
    <row r="259" spans="1:12" ht="19.5" customHeight="1">
      <c r="A259" s="3"/>
      <c r="B259" s="3"/>
      <c r="C259" s="31" t="s">
        <v>56</v>
      </c>
      <c r="D259" s="120">
        <f>瞬跳時間6</f>
        <v>1.05</v>
      </c>
      <c r="E259" s="121"/>
      <c r="F259" s="122" t="s">
        <v>130</v>
      </c>
      <c r="G259" s="123"/>
      <c r="H259" s="119"/>
      <c r="I259" s="8" t="s">
        <v>57</v>
      </c>
      <c r="J259" s="112"/>
      <c r="K259" s="8"/>
      <c r="L259" s="8"/>
    </row>
    <row r="260" spans="1:12" ht="19.5" customHeight="1" thickBot="1">
      <c r="A260" s="3"/>
      <c r="B260" s="3"/>
      <c r="C260" s="37" t="s">
        <v>58</v>
      </c>
      <c r="D260" s="113" t="str">
        <f>K238</f>
        <v>EIT</v>
      </c>
      <c r="E260" s="114"/>
      <c r="F260" s="115"/>
      <c r="G260" s="116"/>
      <c r="H260" s="3"/>
      <c r="I260" s="8"/>
      <c r="J260" s="8"/>
      <c r="K260" s="8"/>
      <c r="L260" s="8"/>
    </row>
    <row r="261" spans="1:12" ht="19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</row>
    <row r="262" spans="1:12" ht="19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</row>
    <row r="263" spans="1:12" ht="19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</row>
    <row r="264" spans="1:12" ht="19.5" customHeight="1"/>
    <row r="265" spans="1:12" ht="19.5" customHeight="1"/>
  </sheetData>
  <sheetProtection formatCells="0" formatColumns="0" formatRows="0" insertColumns="0" insertRows="0" insertHyperlinks="0" deleteColumns="0" deleteRows="0" sort="0" autoFilter="0" pivotTables="0"/>
  <mergeCells count="504">
    <mergeCell ref="H258:H259"/>
    <mergeCell ref="J258:J259"/>
    <mergeCell ref="D259:E259"/>
    <mergeCell ref="F259:G259"/>
    <mergeCell ref="D260:E260"/>
    <mergeCell ref="F260:G260"/>
    <mergeCell ref="D258:E258"/>
    <mergeCell ref="F258:G258"/>
    <mergeCell ref="D256:E256"/>
    <mergeCell ref="F256:G256"/>
    <mergeCell ref="I256:K256"/>
    <mergeCell ref="D257:E257"/>
    <mergeCell ref="F257:G257"/>
    <mergeCell ref="I257:K257"/>
    <mergeCell ref="C253:E253"/>
    <mergeCell ref="D254:E254"/>
    <mergeCell ref="F254:G254"/>
    <mergeCell ref="H254:H255"/>
    <mergeCell ref="I254:K254"/>
    <mergeCell ref="D255:E255"/>
    <mergeCell ref="F255:G255"/>
    <mergeCell ref="I255:K255"/>
    <mergeCell ref="D250:E250"/>
    <mergeCell ref="F250:G250"/>
    <mergeCell ref="H250:K250"/>
    <mergeCell ref="D251:E251"/>
    <mergeCell ref="F251:G251"/>
    <mergeCell ref="H251:K251"/>
    <mergeCell ref="D248:E248"/>
    <mergeCell ref="F248:G248"/>
    <mergeCell ref="H248:K248"/>
    <mergeCell ref="D249:E249"/>
    <mergeCell ref="F249:G249"/>
    <mergeCell ref="H249:K249"/>
    <mergeCell ref="D246:E246"/>
    <mergeCell ref="F246:G246"/>
    <mergeCell ref="H246:K246"/>
    <mergeCell ref="D247:E247"/>
    <mergeCell ref="F247:G247"/>
    <mergeCell ref="H247:K247"/>
    <mergeCell ref="D244:E244"/>
    <mergeCell ref="F244:G244"/>
    <mergeCell ref="H244:K244"/>
    <mergeCell ref="D245:E245"/>
    <mergeCell ref="F245:G245"/>
    <mergeCell ref="H245:K245"/>
    <mergeCell ref="D242:E242"/>
    <mergeCell ref="F242:G242"/>
    <mergeCell ref="H242:K242"/>
    <mergeCell ref="D243:E243"/>
    <mergeCell ref="F243:G243"/>
    <mergeCell ref="H243:K243"/>
    <mergeCell ref="C236:E236"/>
    <mergeCell ref="F236:K236"/>
    <mergeCell ref="C240:C241"/>
    <mergeCell ref="D240:G240"/>
    <mergeCell ref="H240:K241"/>
    <mergeCell ref="D241:E241"/>
    <mergeCell ref="F241:G241"/>
    <mergeCell ref="C232:E232"/>
    <mergeCell ref="H232:K232"/>
    <mergeCell ref="C233:E233"/>
    <mergeCell ref="H233:K233"/>
    <mergeCell ref="C235:E235"/>
    <mergeCell ref="H235:K235"/>
    <mergeCell ref="C234:E234"/>
    <mergeCell ref="H234:K234"/>
    <mergeCell ref="H228:K228"/>
    <mergeCell ref="C229:E229"/>
    <mergeCell ref="H229:K229"/>
    <mergeCell ref="C230:E230"/>
    <mergeCell ref="H230:K230"/>
    <mergeCell ref="C231:E231"/>
    <mergeCell ref="H231:K231"/>
    <mergeCell ref="E223:G223"/>
    <mergeCell ref="C224:E224"/>
    <mergeCell ref="H224:K224"/>
    <mergeCell ref="C225:E225"/>
    <mergeCell ref="H225:K225"/>
    <mergeCell ref="C227:E227"/>
    <mergeCell ref="H227:K227"/>
    <mergeCell ref="C228:E228"/>
    <mergeCell ref="C226:E226"/>
    <mergeCell ref="H226:K226"/>
    <mergeCell ref="D214:E214"/>
    <mergeCell ref="F214:G214"/>
    <mergeCell ref="H214:H215"/>
    <mergeCell ref="J214:J215"/>
    <mergeCell ref="D215:E215"/>
    <mergeCell ref="F215:G215"/>
    <mergeCell ref="D216:E216"/>
    <mergeCell ref="F216:G216"/>
    <mergeCell ref="D212:E212"/>
    <mergeCell ref="F212:G212"/>
    <mergeCell ref="I212:K212"/>
    <mergeCell ref="D213:E213"/>
    <mergeCell ref="F213:G213"/>
    <mergeCell ref="I213:K213"/>
    <mergeCell ref="C209:E209"/>
    <mergeCell ref="D210:E210"/>
    <mergeCell ref="F210:G210"/>
    <mergeCell ref="H210:H211"/>
    <mergeCell ref="I210:K210"/>
    <mergeCell ref="D211:E211"/>
    <mergeCell ref="F211:G211"/>
    <mergeCell ref="I211:K211"/>
    <mergeCell ref="D206:E206"/>
    <mergeCell ref="F206:G206"/>
    <mergeCell ref="H206:K206"/>
    <mergeCell ref="D207:E207"/>
    <mergeCell ref="F207:G207"/>
    <mergeCell ref="H207:K207"/>
    <mergeCell ref="D204:E204"/>
    <mergeCell ref="F204:G204"/>
    <mergeCell ref="H204:K204"/>
    <mergeCell ref="D205:E205"/>
    <mergeCell ref="F205:G205"/>
    <mergeCell ref="H205:K205"/>
    <mergeCell ref="D202:E202"/>
    <mergeCell ref="F202:G202"/>
    <mergeCell ref="H202:K202"/>
    <mergeCell ref="D203:E203"/>
    <mergeCell ref="F203:G203"/>
    <mergeCell ref="H203:K203"/>
    <mergeCell ref="D200:E200"/>
    <mergeCell ref="F200:G200"/>
    <mergeCell ref="H200:K200"/>
    <mergeCell ref="D201:E201"/>
    <mergeCell ref="F201:G201"/>
    <mergeCell ref="H201:K201"/>
    <mergeCell ref="D198:E198"/>
    <mergeCell ref="F198:G198"/>
    <mergeCell ref="H198:K198"/>
    <mergeCell ref="D199:E199"/>
    <mergeCell ref="F199:G199"/>
    <mergeCell ref="H199:K199"/>
    <mergeCell ref="C192:E192"/>
    <mergeCell ref="F192:K192"/>
    <mergeCell ref="C196:C197"/>
    <mergeCell ref="D196:G196"/>
    <mergeCell ref="H196:K197"/>
    <mergeCell ref="D197:E197"/>
    <mergeCell ref="F197:G197"/>
    <mergeCell ref="C188:E188"/>
    <mergeCell ref="H188:K188"/>
    <mergeCell ref="C189:E189"/>
    <mergeCell ref="H189:K189"/>
    <mergeCell ref="C191:E191"/>
    <mergeCell ref="H191:K191"/>
    <mergeCell ref="C190:E190"/>
    <mergeCell ref="H190:K190"/>
    <mergeCell ref="H184:K184"/>
    <mergeCell ref="C185:E185"/>
    <mergeCell ref="H185:K185"/>
    <mergeCell ref="C186:E186"/>
    <mergeCell ref="H186:K186"/>
    <mergeCell ref="C187:E187"/>
    <mergeCell ref="H187:K187"/>
    <mergeCell ref="E179:G179"/>
    <mergeCell ref="C180:E180"/>
    <mergeCell ref="H180:K180"/>
    <mergeCell ref="C181:E181"/>
    <mergeCell ref="H181:K181"/>
    <mergeCell ref="C183:E183"/>
    <mergeCell ref="H183:K183"/>
    <mergeCell ref="C184:E184"/>
    <mergeCell ref="C182:E182"/>
    <mergeCell ref="H182:K182"/>
    <mergeCell ref="D170:E170"/>
    <mergeCell ref="F170:G170"/>
    <mergeCell ref="H170:H171"/>
    <mergeCell ref="J170:J171"/>
    <mergeCell ref="D171:E171"/>
    <mergeCell ref="F171:G171"/>
    <mergeCell ref="D172:E172"/>
    <mergeCell ref="F172:G172"/>
    <mergeCell ref="D168:E168"/>
    <mergeCell ref="F168:G168"/>
    <mergeCell ref="I168:K168"/>
    <mergeCell ref="D169:E169"/>
    <mergeCell ref="F169:G169"/>
    <mergeCell ref="I169:K169"/>
    <mergeCell ref="C165:E165"/>
    <mergeCell ref="D166:E166"/>
    <mergeCell ref="F166:G166"/>
    <mergeCell ref="H166:H167"/>
    <mergeCell ref="I166:K166"/>
    <mergeCell ref="D167:E167"/>
    <mergeCell ref="F167:G167"/>
    <mergeCell ref="I167:K167"/>
    <mergeCell ref="D162:E162"/>
    <mergeCell ref="F162:G162"/>
    <mergeCell ref="H162:K162"/>
    <mergeCell ref="D163:E163"/>
    <mergeCell ref="F163:G163"/>
    <mergeCell ref="H163:K163"/>
    <mergeCell ref="D160:E160"/>
    <mergeCell ref="F160:G160"/>
    <mergeCell ref="H160:K160"/>
    <mergeCell ref="D161:E161"/>
    <mergeCell ref="F161:G161"/>
    <mergeCell ref="H161:K161"/>
    <mergeCell ref="D158:E158"/>
    <mergeCell ref="F158:G158"/>
    <mergeCell ref="H158:K158"/>
    <mergeCell ref="D159:E159"/>
    <mergeCell ref="F159:G159"/>
    <mergeCell ref="H159:K159"/>
    <mergeCell ref="D156:E156"/>
    <mergeCell ref="F156:G156"/>
    <mergeCell ref="H156:K156"/>
    <mergeCell ref="D157:E157"/>
    <mergeCell ref="F157:G157"/>
    <mergeCell ref="H157:K157"/>
    <mergeCell ref="D154:E154"/>
    <mergeCell ref="F154:G154"/>
    <mergeCell ref="H154:K154"/>
    <mergeCell ref="D155:E155"/>
    <mergeCell ref="F155:G155"/>
    <mergeCell ref="H155:K155"/>
    <mergeCell ref="C148:E148"/>
    <mergeCell ref="F148:K148"/>
    <mergeCell ref="C152:C153"/>
    <mergeCell ref="D152:G152"/>
    <mergeCell ref="H152:K153"/>
    <mergeCell ref="D153:E153"/>
    <mergeCell ref="F153:G153"/>
    <mergeCell ref="C144:E144"/>
    <mergeCell ref="H144:K144"/>
    <mergeCell ref="C145:E145"/>
    <mergeCell ref="H145:K145"/>
    <mergeCell ref="C147:E147"/>
    <mergeCell ref="H147:K147"/>
    <mergeCell ref="C146:E146"/>
    <mergeCell ref="H146:K146"/>
    <mergeCell ref="H140:K140"/>
    <mergeCell ref="C141:E141"/>
    <mergeCell ref="H141:K141"/>
    <mergeCell ref="C142:E142"/>
    <mergeCell ref="H142:K142"/>
    <mergeCell ref="C143:E143"/>
    <mergeCell ref="H143:K143"/>
    <mergeCell ref="E135:G135"/>
    <mergeCell ref="C136:E136"/>
    <mergeCell ref="H136:K136"/>
    <mergeCell ref="C137:E137"/>
    <mergeCell ref="H137:K137"/>
    <mergeCell ref="C139:E139"/>
    <mergeCell ref="H139:K139"/>
    <mergeCell ref="C140:E140"/>
    <mergeCell ref="C138:E138"/>
    <mergeCell ref="H138:K138"/>
    <mergeCell ref="D126:E126"/>
    <mergeCell ref="F126:G126"/>
    <mergeCell ref="H126:H127"/>
    <mergeCell ref="J126:J127"/>
    <mergeCell ref="D127:E127"/>
    <mergeCell ref="F127:G127"/>
    <mergeCell ref="D128:E128"/>
    <mergeCell ref="F128:G128"/>
    <mergeCell ref="D124:E124"/>
    <mergeCell ref="F124:G124"/>
    <mergeCell ref="I124:K124"/>
    <mergeCell ref="D125:E125"/>
    <mergeCell ref="F125:G125"/>
    <mergeCell ref="I125:K125"/>
    <mergeCell ref="C121:E121"/>
    <mergeCell ref="D122:E122"/>
    <mergeCell ref="F122:G122"/>
    <mergeCell ref="H122:H123"/>
    <mergeCell ref="I122:K122"/>
    <mergeCell ref="D123:E123"/>
    <mergeCell ref="F123:G123"/>
    <mergeCell ref="I123:K123"/>
    <mergeCell ref="D118:E118"/>
    <mergeCell ref="F118:G118"/>
    <mergeCell ref="H118:K118"/>
    <mergeCell ref="D119:E119"/>
    <mergeCell ref="F119:G119"/>
    <mergeCell ref="H119:K119"/>
    <mergeCell ref="D116:E116"/>
    <mergeCell ref="F116:G116"/>
    <mergeCell ref="H116:K116"/>
    <mergeCell ref="D117:E117"/>
    <mergeCell ref="F117:G117"/>
    <mergeCell ref="H117:K117"/>
    <mergeCell ref="D114:E114"/>
    <mergeCell ref="F114:G114"/>
    <mergeCell ref="H114:K114"/>
    <mergeCell ref="D115:E115"/>
    <mergeCell ref="F115:G115"/>
    <mergeCell ref="H115:K115"/>
    <mergeCell ref="D112:E112"/>
    <mergeCell ref="F112:G112"/>
    <mergeCell ref="H112:K112"/>
    <mergeCell ref="D113:E113"/>
    <mergeCell ref="F113:G113"/>
    <mergeCell ref="H113:K113"/>
    <mergeCell ref="D110:E110"/>
    <mergeCell ref="F110:G110"/>
    <mergeCell ref="H110:K110"/>
    <mergeCell ref="D111:E111"/>
    <mergeCell ref="F111:G111"/>
    <mergeCell ref="H111:K111"/>
    <mergeCell ref="C104:E104"/>
    <mergeCell ref="F104:K104"/>
    <mergeCell ref="C108:C109"/>
    <mergeCell ref="D108:G108"/>
    <mergeCell ref="H108:K109"/>
    <mergeCell ref="D109:E109"/>
    <mergeCell ref="F109:G109"/>
    <mergeCell ref="C100:E100"/>
    <mergeCell ref="H100:K100"/>
    <mergeCell ref="C101:E101"/>
    <mergeCell ref="H101:K101"/>
    <mergeCell ref="C103:E103"/>
    <mergeCell ref="H103:K103"/>
    <mergeCell ref="C102:E102"/>
    <mergeCell ref="H102:K102"/>
    <mergeCell ref="H96:K96"/>
    <mergeCell ref="C97:E97"/>
    <mergeCell ref="H97:K97"/>
    <mergeCell ref="C98:E98"/>
    <mergeCell ref="H98:K98"/>
    <mergeCell ref="C99:E99"/>
    <mergeCell ref="H99:K99"/>
    <mergeCell ref="E91:G91"/>
    <mergeCell ref="C92:E92"/>
    <mergeCell ref="H92:K92"/>
    <mergeCell ref="C93:E93"/>
    <mergeCell ref="H93:K93"/>
    <mergeCell ref="C95:E95"/>
    <mergeCell ref="H95:K95"/>
    <mergeCell ref="C96:E96"/>
    <mergeCell ref="C94:E94"/>
    <mergeCell ref="H94:K94"/>
    <mergeCell ref="D82:E82"/>
    <mergeCell ref="F82:G82"/>
    <mergeCell ref="H82:H83"/>
    <mergeCell ref="J82:J83"/>
    <mergeCell ref="D83:E83"/>
    <mergeCell ref="F83:G83"/>
    <mergeCell ref="D84:E84"/>
    <mergeCell ref="F84:G84"/>
    <mergeCell ref="D80:E80"/>
    <mergeCell ref="F80:G80"/>
    <mergeCell ref="I80:K80"/>
    <mergeCell ref="D81:E81"/>
    <mergeCell ref="F81:G81"/>
    <mergeCell ref="I81:K81"/>
    <mergeCell ref="C77:E77"/>
    <mergeCell ref="D78:E78"/>
    <mergeCell ref="F78:G78"/>
    <mergeCell ref="H78:H79"/>
    <mergeCell ref="I78:K78"/>
    <mergeCell ref="D79:E79"/>
    <mergeCell ref="F79:G79"/>
    <mergeCell ref="I79:K79"/>
    <mergeCell ref="D74:E74"/>
    <mergeCell ref="F74:G74"/>
    <mergeCell ref="H74:K74"/>
    <mergeCell ref="D75:E75"/>
    <mergeCell ref="F75:G75"/>
    <mergeCell ref="H75:K75"/>
    <mergeCell ref="D72:E72"/>
    <mergeCell ref="F72:G72"/>
    <mergeCell ref="H72:K72"/>
    <mergeCell ref="D73:E73"/>
    <mergeCell ref="F73:G73"/>
    <mergeCell ref="H73:K73"/>
    <mergeCell ref="D70:E70"/>
    <mergeCell ref="F70:G70"/>
    <mergeCell ref="H70:K70"/>
    <mergeCell ref="D71:E71"/>
    <mergeCell ref="F71:G71"/>
    <mergeCell ref="H71:K71"/>
    <mergeCell ref="D68:E68"/>
    <mergeCell ref="F68:G68"/>
    <mergeCell ref="H68:K68"/>
    <mergeCell ref="D69:E69"/>
    <mergeCell ref="F69:G69"/>
    <mergeCell ref="H69:K69"/>
    <mergeCell ref="D66:E66"/>
    <mergeCell ref="F66:G66"/>
    <mergeCell ref="H66:K66"/>
    <mergeCell ref="D67:E67"/>
    <mergeCell ref="F67:G67"/>
    <mergeCell ref="H67:K67"/>
    <mergeCell ref="C60:E60"/>
    <mergeCell ref="F60:K60"/>
    <mergeCell ref="C64:C65"/>
    <mergeCell ref="D64:G64"/>
    <mergeCell ref="H64:K65"/>
    <mergeCell ref="D65:E65"/>
    <mergeCell ref="F65:G65"/>
    <mergeCell ref="C56:E56"/>
    <mergeCell ref="H56:K56"/>
    <mergeCell ref="C57:E57"/>
    <mergeCell ref="H57:K57"/>
    <mergeCell ref="C58:E58"/>
    <mergeCell ref="H58:K58"/>
    <mergeCell ref="C59:E59"/>
    <mergeCell ref="H59:K59"/>
    <mergeCell ref="C52:E52"/>
    <mergeCell ref="H52:K52"/>
    <mergeCell ref="C53:E53"/>
    <mergeCell ref="H53:K53"/>
    <mergeCell ref="C54:E54"/>
    <mergeCell ref="H54:K54"/>
    <mergeCell ref="C55:E55"/>
    <mergeCell ref="H55:K55"/>
    <mergeCell ref="E47:G47"/>
    <mergeCell ref="C48:E48"/>
    <mergeCell ref="H48:K48"/>
    <mergeCell ref="C49:E49"/>
    <mergeCell ref="H49:K49"/>
    <mergeCell ref="C50:E50"/>
    <mergeCell ref="H50:K50"/>
    <mergeCell ref="C51:E51"/>
    <mergeCell ref="H51:K51"/>
    <mergeCell ref="C9:E9"/>
    <mergeCell ref="H9:K9"/>
    <mergeCell ref="E3:G3"/>
    <mergeCell ref="C4:E4"/>
    <mergeCell ref="H4:K4"/>
    <mergeCell ref="C5:E5"/>
    <mergeCell ref="H5:K5"/>
    <mergeCell ref="C6:E6"/>
    <mergeCell ref="H6:K6"/>
    <mergeCell ref="C7:E7"/>
    <mergeCell ref="H7:K7"/>
    <mergeCell ref="C8:E8"/>
    <mergeCell ref="H8:K8"/>
    <mergeCell ref="C15:E15"/>
    <mergeCell ref="H15:K15"/>
    <mergeCell ref="C10:E10"/>
    <mergeCell ref="H10:K10"/>
    <mergeCell ref="C11:E11"/>
    <mergeCell ref="H11:K11"/>
    <mergeCell ref="C12:E12"/>
    <mergeCell ref="H12:K12"/>
    <mergeCell ref="C13:E13"/>
    <mergeCell ref="H13:K13"/>
    <mergeCell ref="C14:E14"/>
    <mergeCell ref="H14:K14"/>
    <mergeCell ref="C16:E16"/>
    <mergeCell ref="F16:K16"/>
    <mergeCell ref="C20:C21"/>
    <mergeCell ref="D20:G20"/>
    <mergeCell ref="H20:K21"/>
    <mergeCell ref="D21:E21"/>
    <mergeCell ref="F21:G21"/>
    <mergeCell ref="D22:E22"/>
    <mergeCell ref="F22:G22"/>
    <mergeCell ref="H22:K22"/>
    <mergeCell ref="D23:E23"/>
    <mergeCell ref="F23:G23"/>
    <mergeCell ref="H23:K23"/>
    <mergeCell ref="D24:E24"/>
    <mergeCell ref="F24:G24"/>
    <mergeCell ref="H24:K24"/>
    <mergeCell ref="D25:E25"/>
    <mergeCell ref="F25:G25"/>
    <mergeCell ref="H25:K25"/>
    <mergeCell ref="D26:E26"/>
    <mergeCell ref="F26:G26"/>
    <mergeCell ref="H26:K26"/>
    <mergeCell ref="D27:E27"/>
    <mergeCell ref="F27:G27"/>
    <mergeCell ref="H27:K27"/>
    <mergeCell ref="D28:E28"/>
    <mergeCell ref="F28:G28"/>
    <mergeCell ref="H28:K28"/>
    <mergeCell ref="D29:E29"/>
    <mergeCell ref="F29:G29"/>
    <mergeCell ref="H29:K29"/>
    <mergeCell ref="D30:E30"/>
    <mergeCell ref="F30:G30"/>
    <mergeCell ref="H30:K30"/>
    <mergeCell ref="D31:E31"/>
    <mergeCell ref="F31:G31"/>
    <mergeCell ref="H31:K31"/>
    <mergeCell ref="I34:K34"/>
    <mergeCell ref="D35:E35"/>
    <mergeCell ref="F35:G35"/>
    <mergeCell ref="I35:K35"/>
    <mergeCell ref="C33:E33"/>
    <mergeCell ref="D34:E34"/>
    <mergeCell ref="F34:G34"/>
    <mergeCell ref="H34:H35"/>
    <mergeCell ref="D36:E36"/>
    <mergeCell ref="F36:G36"/>
    <mergeCell ref="I36:K36"/>
    <mergeCell ref="D37:E37"/>
    <mergeCell ref="F37:G37"/>
    <mergeCell ref="I37:K37"/>
    <mergeCell ref="D40:E40"/>
    <mergeCell ref="F40:G40"/>
    <mergeCell ref="D38:E38"/>
    <mergeCell ref="F38:G38"/>
    <mergeCell ref="H38:H39"/>
    <mergeCell ref="J38:J39"/>
    <mergeCell ref="D39:E39"/>
    <mergeCell ref="F39:G39"/>
  </mergeCells>
  <phoneticPr fontId="1" type="noConversion"/>
  <printOptions horizontalCentered="1"/>
  <pageMargins left="0" right="0" top="0" bottom="0" header="0" footer="0"/>
  <pageSetup paperSize="9" scale="98" orientation="portrait" verticalDpi="300" r:id="rId1"/>
  <headerFooter alignWithMargins="0"/>
  <rowBreaks count="5" manualBreakCount="5">
    <brk id="44" min="1" max="11" man="1"/>
    <brk id="88" min="1" max="11" man="1"/>
    <brk id="132" min="1" max="11" man="1"/>
    <brk id="176" min="1" max="11" man="1"/>
    <brk id="220" min="1" max="11" man="1"/>
  </rowBreaks>
  <drawing r:id="rId2"/>
  <legacyDrawing r:id="rId3"/>
  <oleObjects>
    <mc:AlternateContent xmlns:mc="http://schemas.openxmlformats.org/markup-compatibility/2006">
      <mc:Choice Requires="x14">
        <oleObject progId="Equation.3" shapeId="106499" r:id="rId4">
          <objectPr defaultSize="0" r:id="rId5">
            <anchor moveWithCells="1">
              <from>
                <xdr:col>7</xdr:col>
                <xdr:colOff>180975</xdr:colOff>
                <xdr:row>39</xdr:row>
                <xdr:rowOff>47625</xdr:rowOff>
              </from>
              <to>
                <xdr:col>9</xdr:col>
                <xdr:colOff>171450</xdr:colOff>
                <xdr:row>41</xdr:row>
                <xdr:rowOff>209550</xdr:rowOff>
              </to>
            </anchor>
          </objectPr>
        </oleObject>
      </mc:Choice>
      <mc:Fallback>
        <oleObject progId="Equation.3" shapeId="106499" r:id="rId4"/>
      </mc:Fallback>
    </mc:AlternateContent>
    <mc:AlternateContent xmlns:mc="http://schemas.openxmlformats.org/markup-compatibility/2006">
      <mc:Choice Requires="x14">
        <oleObject progId="Equation.3" shapeId="106500" r:id="rId6">
          <objectPr defaultSize="0" r:id="rId7">
            <anchor moveWithCells="1">
              <from>
                <xdr:col>7</xdr:col>
                <xdr:colOff>180975</xdr:colOff>
                <xdr:row>83</xdr:row>
                <xdr:rowOff>47625</xdr:rowOff>
              </from>
              <to>
                <xdr:col>9</xdr:col>
                <xdr:colOff>171450</xdr:colOff>
                <xdr:row>85</xdr:row>
                <xdr:rowOff>209550</xdr:rowOff>
              </to>
            </anchor>
          </objectPr>
        </oleObject>
      </mc:Choice>
      <mc:Fallback>
        <oleObject progId="Equation.3" shapeId="106500" r:id="rId6"/>
      </mc:Fallback>
    </mc:AlternateContent>
    <mc:AlternateContent xmlns:mc="http://schemas.openxmlformats.org/markup-compatibility/2006">
      <mc:Choice Requires="x14">
        <oleObject progId="Equation.3" shapeId="106501" r:id="rId8">
          <objectPr defaultSize="0" r:id="rId7">
            <anchor moveWithCells="1">
              <from>
                <xdr:col>7</xdr:col>
                <xdr:colOff>180975</xdr:colOff>
                <xdr:row>127</xdr:row>
                <xdr:rowOff>47625</xdr:rowOff>
              </from>
              <to>
                <xdr:col>9</xdr:col>
                <xdr:colOff>171450</xdr:colOff>
                <xdr:row>129</xdr:row>
                <xdr:rowOff>209550</xdr:rowOff>
              </to>
            </anchor>
          </objectPr>
        </oleObject>
      </mc:Choice>
      <mc:Fallback>
        <oleObject progId="Equation.3" shapeId="106501" r:id="rId8"/>
      </mc:Fallback>
    </mc:AlternateContent>
    <mc:AlternateContent xmlns:mc="http://schemas.openxmlformats.org/markup-compatibility/2006">
      <mc:Choice Requires="x14">
        <oleObject progId="Equation.3" shapeId="106502" r:id="rId9">
          <objectPr defaultSize="0" r:id="rId7">
            <anchor moveWithCells="1">
              <from>
                <xdr:col>7</xdr:col>
                <xdr:colOff>180975</xdr:colOff>
                <xdr:row>171</xdr:row>
                <xdr:rowOff>47625</xdr:rowOff>
              </from>
              <to>
                <xdr:col>9</xdr:col>
                <xdr:colOff>171450</xdr:colOff>
                <xdr:row>173</xdr:row>
                <xdr:rowOff>209550</xdr:rowOff>
              </to>
            </anchor>
          </objectPr>
        </oleObject>
      </mc:Choice>
      <mc:Fallback>
        <oleObject progId="Equation.3" shapeId="106502" r:id="rId9"/>
      </mc:Fallback>
    </mc:AlternateContent>
    <mc:AlternateContent xmlns:mc="http://schemas.openxmlformats.org/markup-compatibility/2006">
      <mc:Choice Requires="x14">
        <oleObject progId="Equation.3" shapeId="106503" r:id="rId10">
          <objectPr defaultSize="0" r:id="rId7">
            <anchor moveWithCells="1">
              <from>
                <xdr:col>7</xdr:col>
                <xdr:colOff>180975</xdr:colOff>
                <xdr:row>215</xdr:row>
                <xdr:rowOff>47625</xdr:rowOff>
              </from>
              <to>
                <xdr:col>9</xdr:col>
                <xdr:colOff>171450</xdr:colOff>
                <xdr:row>217</xdr:row>
                <xdr:rowOff>209550</xdr:rowOff>
              </to>
            </anchor>
          </objectPr>
        </oleObject>
      </mc:Choice>
      <mc:Fallback>
        <oleObject progId="Equation.3" shapeId="106503" r:id="rId10"/>
      </mc:Fallback>
    </mc:AlternateContent>
    <mc:AlternateContent xmlns:mc="http://schemas.openxmlformats.org/markup-compatibility/2006">
      <mc:Choice Requires="x14">
        <oleObject progId="Equation.3" shapeId="106504" r:id="rId11">
          <objectPr defaultSize="0" r:id="rId7">
            <anchor moveWithCells="1">
              <from>
                <xdr:col>7</xdr:col>
                <xdr:colOff>180975</xdr:colOff>
                <xdr:row>259</xdr:row>
                <xdr:rowOff>47625</xdr:rowOff>
              </from>
              <to>
                <xdr:col>9</xdr:col>
                <xdr:colOff>171450</xdr:colOff>
                <xdr:row>261</xdr:row>
                <xdr:rowOff>209550</xdr:rowOff>
              </to>
            </anchor>
          </objectPr>
        </oleObject>
      </mc:Choice>
      <mc:Fallback>
        <oleObject progId="Equation.3" shapeId="106504" r:id="rId11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5"/>
  <sheetViews>
    <sheetView topLeftCell="A10" zoomScale="75" workbookViewId="0">
      <selection activeCell="K17" sqref="K17"/>
    </sheetView>
  </sheetViews>
  <sheetFormatPr defaultColWidth="0" defaultRowHeight="19.5" customHeight="1" zeroHeight="1"/>
  <cols>
    <col min="1" max="12" width="9" customWidth="1"/>
  </cols>
  <sheetData>
    <row r="1" spans="1:12" ht="19.5" customHeight="1">
      <c r="A1" s="1" t="s">
        <v>3</v>
      </c>
      <c r="B1" s="1"/>
      <c r="C1" s="2"/>
      <c r="D1" s="2"/>
      <c r="E1" s="2"/>
      <c r="F1" s="2"/>
      <c r="G1" s="2"/>
      <c r="H1" s="2"/>
      <c r="I1" s="2"/>
      <c r="J1" s="2"/>
      <c r="K1" s="2"/>
      <c r="L1" s="38"/>
    </row>
    <row r="2" spans="1:12" ht="19.5" customHeight="1" thickBot="1">
      <c r="A2" s="3"/>
      <c r="B2" s="3"/>
      <c r="C2" s="4" t="s">
        <v>60</v>
      </c>
      <c r="D2" s="4"/>
      <c r="E2" s="4"/>
      <c r="F2" s="4"/>
      <c r="G2" s="3"/>
      <c r="H2" s="3"/>
      <c r="I2" s="3"/>
      <c r="J2" s="3"/>
      <c r="K2" s="3"/>
      <c r="L2" s="17"/>
    </row>
    <row r="3" spans="1:12" ht="19.5" customHeight="1">
      <c r="A3" s="3"/>
      <c r="B3" s="3"/>
      <c r="C3" s="5" t="s">
        <v>5</v>
      </c>
      <c r="D3" s="6"/>
      <c r="E3" s="176" t="str">
        <f>CONCATENATE("Lco-",coname1)</f>
        <v>Lco-6kvC1变馈线</v>
      </c>
      <c r="F3" s="176"/>
      <c r="G3" s="176"/>
      <c r="H3" s="6"/>
      <c r="I3" s="6"/>
      <c r="J3" s="6"/>
      <c r="K3" s="7"/>
      <c r="L3" s="3"/>
    </row>
    <row r="4" spans="1:12" ht="19.5" customHeight="1">
      <c r="A4" s="3"/>
      <c r="B4" s="3"/>
      <c r="C4" s="177" t="s">
        <v>6</v>
      </c>
      <c r="D4" s="178"/>
      <c r="E4" s="178"/>
      <c r="F4" s="8">
        <f>CO表單!F4</f>
        <v>2000</v>
      </c>
      <c r="G4" s="9" t="s">
        <v>7</v>
      </c>
      <c r="H4" s="179"/>
      <c r="I4" s="178"/>
      <c r="J4" s="178"/>
      <c r="K4" s="180"/>
      <c r="L4" s="10"/>
    </row>
    <row r="5" spans="1:12" ht="19.5" customHeight="1">
      <c r="A5" s="3"/>
      <c r="B5" s="3"/>
      <c r="C5" s="163" t="s">
        <v>8</v>
      </c>
      <c r="D5" s="164"/>
      <c r="E5" s="164"/>
      <c r="F5" s="8">
        <f>CO表單!F5</f>
        <v>11.4</v>
      </c>
      <c r="G5" s="9" t="s">
        <v>9</v>
      </c>
      <c r="H5" s="165"/>
      <c r="I5" s="166"/>
      <c r="J5" s="166"/>
      <c r="K5" s="167"/>
      <c r="L5" s="10"/>
    </row>
    <row r="6" spans="1:12" ht="19.5" customHeight="1">
      <c r="A6" s="3"/>
      <c r="B6" s="3"/>
      <c r="C6" s="163" t="s">
        <v>10</v>
      </c>
      <c r="D6" s="164"/>
      <c r="E6" s="164"/>
      <c r="F6" s="8">
        <f>CO表單!F6</f>
        <v>11.4</v>
      </c>
      <c r="G6" s="9" t="s">
        <v>9</v>
      </c>
      <c r="H6" s="165"/>
      <c r="I6" s="166"/>
      <c r="J6" s="166"/>
      <c r="K6" s="167"/>
      <c r="L6" s="10"/>
    </row>
    <row r="7" spans="1:12" ht="19.5" customHeight="1">
      <c r="A7" s="3"/>
      <c r="B7" s="3"/>
      <c r="C7" s="163" t="s">
        <v>11</v>
      </c>
      <c r="D7" s="164"/>
      <c r="E7" s="164"/>
      <c r="F7" s="8">
        <f>CO表單!F7</f>
        <v>100</v>
      </c>
      <c r="G7" s="9" t="s">
        <v>12</v>
      </c>
      <c r="H7" s="165"/>
      <c r="I7" s="166"/>
      <c r="J7" s="166"/>
      <c r="K7" s="167"/>
      <c r="L7" s="10"/>
    </row>
    <row r="8" spans="1:12" ht="19.5" customHeight="1">
      <c r="A8" s="16"/>
      <c r="B8" s="16"/>
      <c r="C8" s="163" t="s">
        <v>13</v>
      </c>
      <c r="D8" s="164"/>
      <c r="E8" s="164"/>
      <c r="F8" s="8" t="str">
        <f>CO表單!F8</f>
        <v>150/5</v>
      </c>
      <c r="G8" s="9" t="s">
        <v>14</v>
      </c>
      <c r="H8" s="165" t="str">
        <f>CO表單!H8</f>
        <v>= 150 / 5 = 30</v>
      </c>
      <c r="I8" s="166"/>
      <c r="J8" s="166"/>
      <c r="K8" s="167"/>
      <c r="L8" s="10"/>
    </row>
    <row r="9" spans="1:12" ht="19.5" customHeight="1">
      <c r="A9" s="3"/>
      <c r="B9" s="3"/>
      <c r="C9" s="163" t="s">
        <v>61</v>
      </c>
      <c r="D9" s="164"/>
      <c r="E9" s="164"/>
      <c r="F9" s="22"/>
      <c r="G9" s="9"/>
      <c r="H9" s="190"/>
      <c r="I9" s="191"/>
      <c r="J9" s="191"/>
      <c r="K9" s="192"/>
      <c r="L9" s="13"/>
    </row>
    <row r="10" spans="1:12" ht="19.5" customHeight="1">
      <c r="A10" s="3"/>
      <c r="B10" s="3"/>
      <c r="C10" s="163" t="s">
        <v>62</v>
      </c>
      <c r="D10" s="164"/>
      <c r="E10" s="164"/>
      <c r="F10" s="8" t="str">
        <f>IF(_Ts01=" ",CONCATENATE(0.1,"In"),CONCATENATE(_Ts01,"In"))</f>
        <v>0.1In</v>
      </c>
      <c r="G10" s="10" t="str">
        <f>IF(_Ts01=" ",CONCATENATE("=",0.1*二次側1,"A"),CONCATENATE("=",_Ts01*二次側1,"A"))</f>
        <v>=0.5A</v>
      </c>
      <c r="H10" s="165" t="str">
        <f>CONCATENATE("一般固定選用0.1In;手動設定為",_Ts01,"In")</f>
        <v>一般固定選用0.1In;手動設定為0.1In</v>
      </c>
      <c r="I10" s="166"/>
      <c r="J10" s="166"/>
      <c r="K10" s="167"/>
      <c r="L10" s="10"/>
    </row>
    <row r="11" spans="1:12" ht="19.5" customHeight="1">
      <c r="A11" s="3"/>
      <c r="B11" s="3"/>
      <c r="C11" s="163" t="s">
        <v>63</v>
      </c>
      <c r="D11" s="164"/>
      <c r="E11" s="164"/>
      <c r="F11" s="8">
        <f>Is0one</f>
        <v>15</v>
      </c>
      <c r="G11" s="9" t="s">
        <v>18</v>
      </c>
      <c r="H11" s="165"/>
      <c r="I11" s="166"/>
      <c r="J11" s="166"/>
      <c r="K11" s="167"/>
      <c r="L11" s="10"/>
    </row>
    <row r="12" spans="1:12" ht="19.5" customHeight="1">
      <c r="A12" s="3"/>
      <c r="B12" s="3"/>
      <c r="C12" s="163" t="s">
        <v>64</v>
      </c>
      <c r="D12" s="164"/>
      <c r="E12" s="164"/>
      <c r="F12" s="8">
        <f>Lever1</f>
        <v>0.1</v>
      </c>
      <c r="G12" s="9" t="s">
        <v>14</v>
      </c>
      <c r="H12" s="165"/>
      <c r="I12" s="166"/>
      <c r="J12" s="166"/>
      <c r="K12" s="167"/>
      <c r="L12" s="10"/>
    </row>
    <row r="13" spans="1:12" ht="19.5" customHeight="1">
      <c r="A13" s="3"/>
      <c r="B13" s="3"/>
      <c r="C13" s="163" t="s">
        <v>65</v>
      </c>
      <c r="D13" s="164"/>
      <c r="E13" s="164"/>
      <c r="F13" s="8" t="str">
        <f>CONCATENATE(_IIT01,"In")</f>
        <v>1In</v>
      </c>
      <c r="G13" s="9" t="str">
        <f>CONCATENATE("=",_IIT01*二次側1,"A")</f>
        <v>=5A</v>
      </c>
      <c r="H13" s="165" t="str">
        <f>CONCATENATE("一般固定選用1In;手動設定為",_IIT01,"In")</f>
        <v>一般固定選用1In;手動設定為1In</v>
      </c>
      <c r="I13" s="166"/>
      <c r="J13" s="166"/>
      <c r="K13" s="167"/>
      <c r="L13" s="10"/>
    </row>
    <row r="14" spans="1:12" ht="19.5" customHeight="1">
      <c r="A14" s="3"/>
      <c r="B14" s="3"/>
      <c r="C14" s="171" t="s">
        <v>132</v>
      </c>
      <c r="D14" s="172"/>
      <c r="E14" s="172"/>
      <c r="F14" s="68">
        <f>1.2*Is0one</f>
        <v>18</v>
      </c>
      <c r="G14" s="69" t="s">
        <v>18</v>
      </c>
      <c r="H14" s="168" t="s">
        <v>133</v>
      </c>
      <c r="I14" s="169"/>
      <c r="J14" s="169"/>
      <c r="K14" s="170"/>
      <c r="L14" s="39"/>
    </row>
    <row r="15" spans="1:12" ht="19.5" customHeight="1">
      <c r="A15" s="3"/>
      <c r="B15" s="3"/>
      <c r="C15" s="158" t="s">
        <v>66</v>
      </c>
      <c r="D15" s="159"/>
      <c r="E15" s="159"/>
      <c r="F15" s="29">
        <f>Lco瞬跳電流1</f>
        <v>150</v>
      </c>
      <c r="G15" s="40" t="s">
        <v>18</v>
      </c>
      <c r="H15" s="185" t="s">
        <v>100</v>
      </c>
      <c r="I15" s="159"/>
      <c r="J15" s="159"/>
      <c r="K15" s="186"/>
      <c r="L15" s="39"/>
    </row>
    <row r="16" spans="1:12" ht="19.5" customHeight="1">
      <c r="A16" s="3"/>
      <c r="B16" s="3"/>
      <c r="C16" s="147" t="s">
        <v>23</v>
      </c>
      <c r="D16" s="148"/>
      <c r="E16" s="148"/>
      <c r="F16" s="149" t="str">
        <f>CO表單!F16</f>
        <v>SEPAM S20</v>
      </c>
      <c r="G16" s="149"/>
      <c r="H16" s="149"/>
      <c r="I16" s="149"/>
      <c r="J16" s="149"/>
      <c r="K16" s="187"/>
      <c r="L16" s="39"/>
    </row>
    <row r="17" spans="1:12" ht="19.5" customHeight="1">
      <c r="A17" s="3"/>
      <c r="B17" s="3"/>
      <c r="C17" s="41" t="s">
        <v>24</v>
      </c>
      <c r="D17" s="3"/>
      <c r="E17" s="8" t="str">
        <f>CO表單!E17</f>
        <v>150/5</v>
      </c>
      <c r="F17" s="3" t="s">
        <v>25</v>
      </c>
      <c r="G17" s="3"/>
      <c r="H17" s="8" t="str">
        <f>CONCATENATE(一次側1,"A")</f>
        <v>150A</v>
      </c>
      <c r="I17" s="3" t="s">
        <v>67</v>
      </c>
      <c r="J17" s="66"/>
      <c r="K17" s="67">
        <f>IF(t0one=" ",Lever1,t0one)</f>
        <v>0.5</v>
      </c>
      <c r="L17" s="42"/>
    </row>
    <row r="18" spans="1:12" ht="19.5" customHeight="1">
      <c r="A18" s="3"/>
      <c r="B18" s="3"/>
      <c r="C18" s="41" t="s">
        <v>68</v>
      </c>
      <c r="D18" s="3"/>
      <c r="E18" s="8">
        <f>_Ts01</f>
        <v>0.1</v>
      </c>
      <c r="F18" s="3" t="s">
        <v>42</v>
      </c>
      <c r="G18" s="8" t="s">
        <v>82</v>
      </c>
      <c r="H18" s="8" t="str">
        <f>CONCATENATE(Is0one,"A")</f>
        <v>15A</v>
      </c>
      <c r="I18" s="3" t="s">
        <v>29</v>
      </c>
      <c r="J18" s="3"/>
      <c r="K18" s="33" t="str">
        <f>协调曲线图!W9</f>
        <v>SIT</v>
      </c>
      <c r="L18" s="14"/>
    </row>
    <row r="19" spans="1:12" ht="19.5" customHeight="1">
      <c r="A19" s="3"/>
      <c r="B19" s="3"/>
      <c r="C19" s="43" t="s">
        <v>102</v>
      </c>
      <c r="D19" s="44"/>
      <c r="E19" s="29">
        <f>_IIT01</f>
        <v>1</v>
      </c>
      <c r="F19" s="44" t="s">
        <v>42</v>
      </c>
      <c r="G19" s="8" t="s">
        <v>83</v>
      </c>
      <c r="H19" s="8" t="str">
        <f>CONCATENATE(F15,"A")</f>
        <v>150A</v>
      </c>
      <c r="I19" s="44"/>
      <c r="J19" s="44"/>
      <c r="K19" s="45"/>
      <c r="L19" s="17"/>
    </row>
    <row r="20" spans="1:12" ht="19.5" customHeight="1">
      <c r="A20" s="3"/>
      <c r="B20" s="3"/>
      <c r="C20" s="188" t="s">
        <v>31</v>
      </c>
      <c r="D20" s="117" t="s">
        <v>32</v>
      </c>
      <c r="E20" s="153"/>
      <c r="F20" s="153"/>
      <c r="G20" s="118"/>
      <c r="H20" s="154" t="s">
        <v>33</v>
      </c>
      <c r="I20" s="127"/>
      <c r="J20" s="127"/>
      <c r="K20" s="155"/>
      <c r="L20" s="14"/>
    </row>
    <row r="21" spans="1:12" ht="19.5" customHeight="1">
      <c r="A21" s="3"/>
      <c r="B21" s="3"/>
      <c r="C21" s="189"/>
      <c r="D21" s="117" t="s">
        <v>34</v>
      </c>
      <c r="E21" s="118"/>
      <c r="F21" s="110" t="s">
        <v>35</v>
      </c>
      <c r="G21" s="118"/>
      <c r="H21" s="156"/>
      <c r="I21" s="124"/>
      <c r="J21" s="124"/>
      <c r="K21" s="157"/>
      <c r="L21" s="14"/>
    </row>
    <row r="22" spans="1:12" ht="19.5" customHeight="1">
      <c r="A22" s="54" t="s">
        <v>14</v>
      </c>
      <c r="B22" s="33"/>
      <c r="C22" s="46">
        <v>2</v>
      </c>
      <c r="D22" s="134">
        <f t="shared" ref="D22:D31" si="0">F22/(covb1/covt1)</f>
        <v>30</v>
      </c>
      <c r="E22" s="135"/>
      <c r="F22" s="136">
        <f t="shared" ref="F22:F30" si="1">Is0one*$C22</f>
        <v>30</v>
      </c>
      <c r="G22" s="137"/>
      <c r="H22" s="138">
        <f>曲線Lever計算!C9</f>
        <v>1.6883883872132779</v>
      </c>
      <c r="I22" s="139"/>
      <c r="J22" s="139"/>
      <c r="K22" s="140"/>
      <c r="L22" s="47"/>
    </row>
    <row r="23" spans="1:12" ht="19.5" customHeight="1">
      <c r="A23" s="54" t="s">
        <v>14</v>
      </c>
      <c r="B23" s="33"/>
      <c r="C23" s="46">
        <v>3</v>
      </c>
      <c r="D23" s="134">
        <f t="shared" si="0"/>
        <v>45</v>
      </c>
      <c r="E23" s="135"/>
      <c r="F23" s="136">
        <f t="shared" si="1"/>
        <v>45</v>
      </c>
      <c r="G23" s="137"/>
      <c r="H23" s="138">
        <f>曲線Lever計算!C10</f>
        <v>1.0609311325240072</v>
      </c>
      <c r="I23" s="139"/>
      <c r="J23" s="139"/>
      <c r="K23" s="140"/>
      <c r="L23" s="47"/>
    </row>
    <row r="24" spans="1:12" ht="19.5" customHeight="1">
      <c r="A24" s="54" t="s">
        <v>14</v>
      </c>
      <c r="B24" s="33"/>
      <c r="C24" s="46">
        <v>4</v>
      </c>
      <c r="D24" s="134">
        <f t="shared" si="0"/>
        <v>60</v>
      </c>
      <c r="E24" s="135"/>
      <c r="F24" s="136">
        <f t="shared" si="1"/>
        <v>60</v>
      </c>
      <c r="G24" s="137"/>
      <c r="H24" s="138">
        <f>曲線Lever計算!C11</f>
        <v>0.83834277906589172</v>
      </c>
      <c r="I24" s="139"/>
      <c r="J24" s="139"/>
      <c r="K24" s="140"/>
      <c r="L24" s="47"/>
    </row>
    <row r="25" spans="1:12" ht="19.5" customHeight="1">
      <c r="A25" s="54" t="s">
        <v>14</v>
      </c>
      <c r="B25" s="33"/>
      <c r="C25" s="46">
        <v>5</v>
      </c>
      <c r="D25" s="134">
        <f t="shared" si="0"/>
        <v>75</v>
      </c>
      <c r="E25" s="135"/>
      <c r="F25" s="136">
        <f t="shared" si="1"/>
        <v>75</v>
      </c>
      <c r="G25" s="137"/>
      <c r="H25" s="138">
        <f>曲線Lever計算!C12</f>
        <v>0.72049159443524813</v>
      </c>
      <c r="I25" s="139"/>
      <c r="J25" s="139"/>
      <c r="K25" s="140"/>
      <c r="L25" s="47"/>
    </row>
    <row r="26" spans="1:12" ht="19.5" customHeight="1">
      <c r="A26" s="54" t="s">
        <v>14</v>
      </c>
      <c r="B26" s="33"/>
      <c r="C26" s="46">
        <v>6</v>
      </c>
      <c r="D26" s="134">
        <f t="shared" si="0"/>
        <v>90</v>
      </c>
      <c r="E26" s="135"/>
      <c r="F26" s="136">
        <f t="shared" si="1"/>
        <v>90</v>
      </c>
      <c r="G26" s="137"/>
      <c r="H26" s="138">
        <f>曲線Lever計算!C13</f>
        <v>0.6459919956431831</v>
      </c>
      <c r="I26" s="139"/>
      <c r="J26" s="139"/>
      <c r="K26" s="140"/>
      <c r="L26" s="47"/>
    </row>
    <row r="27" spans="1:12" ht="19.5" customHeight="1">
      <c r="A27" s="54" t="s">
        <v>14</v>
      </c>
      <c r="B27" s="33"/>
      <c r="C27" s="46">
        <v>7</v>
      </c>
      <c r="D27" s="134">
        <f t="shared" si="0"/>
        <v>105</v>
      </c>
      <c r="E27" s="135"/>
      <c r="F27" s="136">
        <f t="shared" si="1"/>
        <v>105</v>
      </c>
      <c r="G27" s="137"/>
      <c r="H27" s="138">
        <f>曲線Lever計算!C14</f>
        <v>0.5938960321259743</v>
      </c>
      <c r="I27" s="139"/>
      <c r="J27" s="139"/>
      <c r="K27" s="140"/>
      <c r="L27" s="47"/>
    </row>
    <row r="28" spans="1:12" ht="19.5" customHeight="1">
      <c r="A28" s="54" t="s">
        <v>14</v>
      </c>
      <c r="B28" s="33"/>
      <c r="C28" s="46">
        <v>8</v>
      </c>
      <c r="D28" s="134">
        <f t="shared" si="0"/>
        <v>120</v>
      </c>
      <c r="E28" s="135"/>
      <c r="F28" s="136">
        <f t="shared" si="1"/>
        <v>120</v>
      </c>
      <c r="G28" s="137"/>
      <c r="H28" s="138">
        <f>曲線Lever計算!C15</f>
        <v>0.5550123935657989</v>
      </c>
      <c r="I28" s="139"/>
      <c r="J28" s="139"/>
      <c r="K28" s="140"/>
      <c r="L28" s="47"/>
    </row>
    <row r="29" spans="1:12" ht="19.5" customHeight="1">
      <c r="A29" s="54" t="s">
        <v>14</v>
      </c>
      <c r="B29" s="33"/>
      <c r="C29" s="46">
        <v>9</v>
      </c>
      <c r="D29" s="134">
        <f t="shared" si="0"/>
        <v>135</v>
      </c>
      <c r="E29" s="135"/>
      <c r="F29" s="136">
        <f t="shared" si="1"/>
        <v>135</v>
      </c>
      <c r="G29" s="137"/>
      <c r="H29" s="138">
        <f>曲線Lever計算!C16</f>
        <v>0.52463804081287146</v>
      </c>
      <c r="I29" s="139"/>
      <c r="J29" s="139"/>
      <c r="K29" s="140"/>
      <c r="L29" s="47"/>
    </row>
    <row r="30" spans="1:12" ht="19.5" customHeight="1">
      <c r="A30" s="54" t="s">
        <v>14</v>
      </c>
      <c r="B30" s="33"/>
      <c r="C30" s="46">
        <v>10</v>
      </c>
      <c r="D30" s="134">
        <f t="shared" si="0"/>
        <v>150</v>
      </c>
      <c r="E30" s="135"/>
      <c r="F30" s="136">
        <f t="shared" si="1"/>
        <v>150</v>
      </c>
      <c r="G30" s="137"/>
      <c r="H30" s="138">
        <f>曲線Lever計算!C17</f>
        <v>0.50010077848289813</v>
      </c>
      <c r="I30" s="139"/>
      <c r="J30" s="139"/>
      <c r="K30" s="140"/>
      <c r="L30" s="47"/>
    </row>
    <row r="31" spans="1:12" ht="19.5" customHeight="1" thickBot="1">
      <c r="A31" s="54" t="s">
        <v>14</v>
      </c>
      <c r="B31" s="33"/>
      <c r="C31" s="48" t="s">
        <v>53</v>
      </c>
      <c r="D31" s="141">
        <f t="shared" si="0"/>
        <v>150</v>
      </c>
      <c r="E31" s="142"/>
      <c r="F31" s="141">
        <f>F15</f>
        <v>150</v>
      </c>
      <c r="G31" s="143"/>
      <c r="H31" s="144">
        <f>IF(Lco瞬跳時間1=" ",0.025,Lco瞬跳時間1)</f>
        <v>0.05</v>
      </c>
      <c r="I31" s="145"/>
      <c r="J31" s="145"/>
      <c r="K31" s="146"/>
      <c r="L31" s="47"/>
    </row>
    <row r="32" spans="1:12" ht="19.5" customHeight="1">
      <c r="A32" s="3"/>
      <c r="B32" s="3"/>
      <c r="C32" s="3" t="s">
        <v>14</v>
      </c>
      <c r="D32" s="3"/>
      <c r="E32" s="3"/>
      <c r="F32" s="3"/>
      <c r="G32" s="3"/>
      <c r="H32" s="3"/>
      <c r="I32" s="3"/>
      <c r="J32" s="3"/>
      <c r="K32" s="3"/>
      <c r="L32" s="17"/>
    </row>
    <row r="33" spans="1:12" ht="19.5" customHeight="1" thickBot="1">
      <c r="A33" s="3"/>
      <c r="B33" s="3"/>
      <c r="C33" s="128" t="s">
        <v>37</v>
      </c>
      <c r="D33" s="128"/>
      <c r="E33" s="128"/>
      <c r="F33" s="3"/>
      <c r="G33" s="3"/>
      <c r="H33" s="3"/>
      <c r="I33" s="3"/>
      <c r="J33" s="3"/>
      <c r="K33" s="3"/>
      <c r="L33" s="17"/>
    </row>
    <row r="34" spans="1:12" ht="19.5" customHeight="1">
      <c r="A34" s="3"/>
      <c r="B34" s="3"/>
      <c r="C34" s="31" t="s">
        <v>38</v>
      </c>
      <c r="D34" s="129" t="str">
        <f>F16</f>
        <v>SEPAM S20</v>
      </c>
      <c r="E34" s="183"/>
      <c r="F34" s="184" t="s">
        <v>39</v>
      </c>
      <c r="G34" s="132"/>
      <c r="H34" s="119" t="s">
        <v>70</v>
      </c>
      <c r="I34" s="124" t="s">
        <v>41</v>
      </c>
      <c r="J34" s="124"/>
      <c r="K34" s="124"/>
      <c r="L34" s="14"/>
    </row>
    <row r="35" spans="1:12" ht="19.5" customHeight="1">
      <c r="A35" s="3"/>
      <c r="B35" s="3"/>
      <c r="C35" s="31" t="s">
        <v>71</v>
      </c>
      <c r="D35" s="117" t="str">
        <f>CONCATENATE(一次側1,"A")</f>
        <v>150A</v>
      </c>
      <c r="E35" s="118"/>
      <c r="F35" s="110" t="s">
        <v>43</v>
      </c>
      <c r="G35" s="111"/>
      <c r="H35" s="119"/>
      <c r="I35" s="127" t="s">
        <v>44</v>
      </c>
      <c r="J35" s="127"/>
      <c r="K35" s="127"/>
      <c r="L35" s="14"/>
    </row>
    <row r="36" spans="1:12" ht="19.5" customHeight="1">
      <c r="A36" s="3"/>
      <c r="B36" s="3"/>
      <c r="C36" s="31" t="s">
        <v>72</v>
      </c>
      <c r="D36" s="117" t="str">
        <f>IF(AND(0.1&lt;=Is0one/一次側1,Is0one/一次側1&lt;=1),H18,"ERROR!")</f>
        <v>15A</v>
      </c>
      <c r="E36" s="118"/>
      <c r="F36" s="110" t="s">
        <v>73</v>
      </c>
      <c r="G36" s="111"/>
      <c r="H36" s="70" t="s">
        <v>134</v>
      </c>
      <c r="I36" s="133" t="s">
        <v>135</v>
      </c>
      <c r="J36" s="133"/>
      <c r="K36" s="133"/>
      <c r="L36" s="14"/>
    </row>
    <row r="37" spans="1:12" ht="19.5" customHeight="1">
      <c r="A37" s="3"/>
      <c r="B37" s="3"/>
      <c r="C37" s="31" t="s">
        <v>74</v>
      </c>
      <c r="D37" s="108">
        <f>Lever1</f>
        <v>0.1</v>
      </c>
      <c r="E37" s="109"/>
      <c r="F37" s="110" t="s">
        <v>50</v>
      </c>
      <c r="G37" s="111"/>
      <c r="H37" s="36" t="s">
        <v>75</v>
      </c>
      <c r="I37" s="112" t="s">
        <v>76</v>
      </c>
      <c r="J37" s="112"/>
      <c r="K37" s="112"/>
      <c r="L37" s="14"/>
    </row>
    <row r="38" spans="1:12" ht="19.5" customHeight="1">
      <c r="A38" s="3"/>
      <c r="B38" s="3"/>
      <c r="C38" s="31" t="s">
        <v>77</v>
      </c>
      <c r="D38" s="117" t="str">
        <f>IF(AND(0.1&lt;=F15/一次側1,F15/一次側1&lt;=15),H19,"ERROR!")</f>
        <v>150A</v>
      </c>
      <c r="E38" s="118"/>
      <c r="F38" s="110" t="s">
        <v>78</v>
      </c>
      <c r="G38" s="111"/>
      <c r="H38" s="119" t="s">
        <v>79</v>
      </c>
      <c r="I38" s="29" t="s">
        <v>80</v>
      </c>
      <c r="J38" s="112" t="s">
        <v>14</v>
      </c>
      <c r="K38" s="8"/>
      <c r="L38" s="14"/>
    </row>
    <row r="39" spans="1:12" ht="19.5" customHeight="1">
      <c r="A39" s="3"/>
      <c r="B39" s="3"/>
      <c r="C39" s="31" t="s">
        <v>81</v>
      </c>
      <c r="D39" s="181">
        <v>0.05</v>
      </c>
      <c r="E39" s="182"/>
      <c r="F39" s="122" t="s">
        <v>131</v>
      </c>
      <c r="G39" s="123"/>
      <c r="H39" s="119"/>
      <c r="I39" s="8" t="s">
        <v>101</v>
      </c>
      <c r="J39" s="112"/>
      <c r="K39" s="8"/>
      <c r="L39" s="14"/>
    </row>
    <row r="40" spans="1:12" ht="19.5" customHeight="1" thickBot="1">
      <c r="A40" s="3"/>
      <c r="B40" s="3"/>
      <c r="C40" s="37" t="s">
        <v>58</v>
      </c>
      <c r="D40" s="113" t="str">
        <f>K18</f>
        <v>SIT</v>
      </c>
      <c r="E40" s="114"/>
      <c r="F40" s="115"/>
      <c r="G40" s="116"/>
      <c r="H40" s="3"/>
      <c r="I40" s="8"/>
      <c r="J40" s="8"/>
      <c r="K40" s="8"/>
      <c r="L40" s="14"/>
    </row>
    <row r="41" spans="1:12" ht="19.5" customHeight="1"/>
    <row r="42" spans="1:12" ht="19.5" customHeight="1"/>
    <row r="43" spans="1:12" ht="19.5" customHeight="1"/>
    <row r="44" spans="1:12" ht="19.5" customHeight="1"/>
    <row r="45" spans="1:12" ht="19.5" customHeight="1">
      <c r="A45" s="1" t="s">
        <v>113</v>
      </c>
      <c r="B45" s="1"/>
      <c r="C45" s="2"/>
      <c r="D45" s="2"/>
      <c r="E45" s="2"/>
      <c r="F45" s="2"/>
      <c r="G45" s="2"/>
      <c r="H45" s="2"/>
      <c r="I45" s="2"/>
      <c r="J45" s="2"/>
      <c r="K45" s="2"/>
      <c r="L45" s="38"/>
    </row>
    <row r="46" spans="1:12" ht="19.5" customHeight="1" thickBot="1">
      <c r="A46" s="3"/>
      <c r="B46" s="3"/>
      <c r="C46" s="4" t="s">
        <v>60</v>
      </c>
      <c r="D46" s="4"/>
      <c r="E46" s="4"/>
      <c r="F46" s="4"/>
      <c r="G46" s="3"/>
      <c r="H46" s="3"/>
      <c r="I46" s="3"/>
      <c r="J46" s="3"/>
      <c r="K46" s="3"/>
      <c r="L46" s="17"/>
    </row>
    <row r="47" spans="1:12" ht="19.5" customHeight="1">
      <c r="A47" s="3"/>
      <c r="B47" s="3"/>
      <c r="C47" s="5" t="s">
        <v>5</v>
      </c>
      <c r="D47" s="6"/>
      <c r="E47" s="176" t="str">
        <f>CONCATENATE("Lco-",coname2)</f>
        <v>Lco-6kvC1变母联</v>
      </c>
      <c r="F47" s="176"/>
      <c r="G47" s="176"/>
      <c r="H47" s="6"/>
      <c r="I47" s="6"/>
      <c r="J47" s="6"/>
      <c r="K47" s="7"/>
      <c r="L47" s="3"/>
    </row>
    <row r="48" spans="1:12" ht="19.5" customHeight="1">
      <c r="A48" s="3"/>
      <c r="B48" s="3"/>
      <c r="C48" s="177" t="s">
        <v>6</v>
      </c>
      <c r="D48" s="178"/>
      <c r="E48" s="178"/>
      <c r="F48" s="8">
        <f>CO表單!F48</f>
        <v>2500</v>
      </c>
      <c r="G48" s="9" t="s">
        <v>7</v>
      </c>
      <c r="H48" s="179"/>
      <c r="I48" s="178"/>
      <c r="J48" s="178"/>
      <c r="K48" s="180"/>
      <c r="L48" s="10"/>
    </row>
    <row r="49" spans="1:12" ht="19.5" customHeight="1">
      <c r="A49" s="3"/>
      <c r="B49" s="3"/>
      <c r="C49" s="163" t="s">
        <v>8</v>
      </c>
      <c r="D49" s="164"/>
      <c r="E49" s="164"/>
      <c r="F49" s="8">
        <f>CO表單!F49</f>
        <v>11.4</v>
      </c>
      <c r="G49" s="9" t="s">
        <v>9</v>
      </c>
      <c r="H49" s="165"/>
      <c r="I49" s="166"/>
      <c r="J49" s="166"/>
      <c r="K49" s="167"/>
      <c r="L49" s="10"/>
    </row>
    <row r="50" spans="1:12" ht="19.5" customHeight="1">
      <c r="A50" s="3"/>
      <c r="B50" s="3"/>
      <c r="C50" s="163" t="s">
        <v>10</v>
      </c>
      <c r="D50" s="164"/>
      <c r="E50" s="164"/>
      <c r="F50" s="8">
        <f>CO表單!F50</f>
        <v>11.4</v>
      </c>
      <c r="G50" s="9" t="s">
        <v>9</v>
      </c>
      <c r="H50" s="165"/>
      <c r="I50" s="166"/>
      <c r="J50" s="166"/>
      <c r="K50" s="167"/>
      <c r="L50" s="10"/>
    </row>
    <row r="51" spans="1:12" ht="19.5" customHeight="1">
      <c r="A51" s="3"/>
      <c r="B51" s="3"/>
      <c r="C51" s="163" t="s">
        <v>11</v>
      </c>
      <c r="D51" s="164"/>
      <c r="E51" s="164"/>
      <c r="F51" s="8">
        <f>CO表單!F51</f>
        <v>100</v>
      </c>
      <c r="G51" s="9" t="s">
        <v>12</v>
      </c>
      <c r="H51" s="165"/>
      <c r="I51" s="166"/>
      <c r="J51" s="166"/>
      <c r="K51" s="167"/>
      <c r="L51" s="10"/>
    </row>
    <row r="52" spans="1:12" ht="19.5" customHeight="1">
      <c r="A52" s="16"/>
      <c r="B52" s="16"/>
      <c r="C52" s="163" t="s">
        <v>13</v>
      </c>
      <c r="D52" s="164"/>
      <c r="E52" s="164"/>
      <c r="F52" s="8" t="str">
        <f>CO表單!F52</f>
        <v>150/5</v>
      </c>
      <c r="G52" s="9" t="s">
        <v>14</v>
      </c>
      <c r="H52" s="165" t="str">
        <f>CO表單!H52</f>
        <v>= 150 / 5 = 30</v>
      </c>
      <c r="I52" s="166"/>
      <c r="J52" s="166"/>
      <c r="K52" s="167"/>
      <c r="L52" s="10"/>
    </row>
    <row r="53" spans="1:12" ht="19.5" customHeight="1">
      <c r="A53" s="3"/>
      <c r="B53" s="3"/>
      <c r="C53" s="163" t="s">
        <v>61</v>
      </c>
      <c r="D53" s="164"/>
      <c r="E53" s="164"/>
      <c r="F53" s="22"/>
      <c r="G53" s="9"/>
      <c r="H53" s="190"/>
      <c r="I53" s="191"/>
      <c r="J53" s="191"/>
      <c r="K53" s="192"/>
      <c r="L53" s="13"/>
    </row>
    <row r="54" spans="1:12" ht="19.5" customHeight="1">
      <c r="A54" s="3"/>
      <c r="B54" s="3"/>
      <c r="C54" s="163" t="s">
        <v>62</v>
      </c>
      <c r="D54" s="164"/>
      <c r="E54" s="164"/>
      <c r="F54" s="8" t="str">
        <f>IF(_Ts02=" ",CONCATENATE(0.1,"In"),CONCATENATE(_Ts02,"In"))</f>
        <v>0.1In</v>
      </c>
      <c r="G54" s="10" t="str">
        <f>IF(_Ts02=" ",CONCATENATE("=",0.1*二次側2,"A"),CONCATENATE("=",_Ts02*二次側2,"A"))</f>
        <v>=0.5A</v>
      </c>
      <c r="H54" s="165" t="str">
        <f>CONCATENATE("一般固定選用0.1In;手動設定為",_Ts02,"In")</f>
        <v>一般固定選用0.1In;手動設定為0.1In</v>
      </c>
      <c r="I54" s="166"/>
      <c r="J54" s="166"/>
      <c r="K54" s="167"/>
      <c r="L54" s="10"/>
    </row>
    <row r="55" spans="1:12" ht="19.5" customHeight="1">
      <c r="A55" s="3"/>
      <c r="B55" s="3"/>
      <c r="C55" s="163" t="s">
        <v>63</v>
      </c>
      <c r="D55" s="164"/>
      <c r="E55" s="164"/>
      <c r="F55" s="8">
        <f>Is0two</f>
        <v>15</v>
      </c>
      <c r="G55" s="9" t="s">
        <v>18</v>
      </c>
      <c r="H55" s="165"/>
      <c r="I55" s="166"/>
      <c r="J55" s="166"/>
      <c r="K55" s="167"/>
      <c r="L55" s="10"/>
    </row>
    <row r="56" spans="1:12" ht="19.5" customHeight="1">
      <c r="A56" s="3"/>
      <c r="B56" s="3"/>
      <c r="C56" s="163" t="s">
        <v>64</v>
      </c>
      <c r="D56" s="164"/>
      <c r="E56" s="164"/>
      <c r="F56" s="8">
        <f>Lever2</f>
        <v>0.1</v>
      </c>
      <c r="G56" s="9" t="s">
        <v>14</v>
      </c>
      <c r="H56" s="165"/>
      <c r="I56" s="166"/>
      <c r="J56" s="166"/>
      <c r="K56" s="167"/>
      <c r="L56" s="10"/>
    </row>
    <row r="57" spans="1:12" ht="19.5" customHeight="1">
      <c r="A57" s="3"/>
      <c r="B57" s="3"/>
      <c r="C57" s="163" t="s">
        <v>65</v>
      </c>
      <c r="D57" s="164"/>
      <c r="E57" s="164"/>
      <c r="F57" s="8" t="str">
        <f>CONCATENATE(_IIT02,"In")</f>
        <v>1In</v>
      </c>
      <c r="G57" s="9" t="str">
        <f>CONCATENATE("=",_IIT02*二次側2,"A")</f>
        <v>=5A</v>
      </c>
      <c r="H57" s="165" t="str">
        <f>CONCATENATE("一般固定選用1In;手動設定為",_IIT02,"In")</f>
        <v>一般固定選用1In;手動設定為1In</v>
      </c>
      <c r="I57" s="166"/>
      <c r="J57" s="166"/>
      <c r="K57" s="167"/>
      <c r="L57" s="10"/>
    </row>
    <row r="58" spans="1:12" ht="19.5" customHeight="1">
      <c r="A58" s="3"/>
      <c r="B58" s="3"/>
      <c r="C58" s="171" t="s">
        <v>132</v>
      </c>
      <c r="D58" s="172"/>
      <c r="E58" s="172"/>
      <c r="F58" s="68">
        <f>1.2*Is0two</f>
        <v>18</v>
      </c>
      <c r="G58" s="69" t="s">
        <v>18</v>
      </c>
      <c r="H58" s="168" t="s">
        <v>133</v>
      </c>
      <c r="I58" s="169"/>
      <c r="J58" s="169"/>
      <c r="K58" s="170"/>
      <c r="L58" s="39"/>
    </row>
    <row r="59" spans="1:12" ht="19.5" customHeight="1">
      <c r="A59" s="3"/>
      <c r="B59" s="3"/>
      <c r="C59" s="158" t="s">
        <v>66</v>
      </c>
      <c r="D59" s="159"/>
      <c r="E59" s="159"/>
      <c r="F59" s="29">
        <f>Lco瞬跳電流2</f>
        <v>150</v>
      </c>
      <c r="G59" s="40" t="s">
        <v>18</v>
      </c>
      <c r="H59" s="185" t="s">
        <v>100</v>
      </c>
      <c r="I59" s="159"/>
      <c r="J59" s="159"/>
      <c r="K59" s="186"/>
      <c r="L59" s="39"/>
    </row>
    <row r="60" spans="1:12" ht="19.5" customHeight="1">
      <c r="A60" s="3"/>
      <c r="B60" s="3"/>
      <c r="C60" s="147" t="s">
        <v>23</v>
      </c>
      <c r="D60" s="148"/>
      <c r="E60" s="148"/>
      <c r="F60" s="149" t="str">
        <f>CO表單!F60</f>
        <v>SEPAM S40</v>
      </c>
      <c r="G60" s="149"/>
      <c r="H60" s="149"/>
      <c r="I60" s="149"/>
      <c r="J60" s="149"/>
      <c r="K60" s="187"/>
      <c r="L60" s="39"/>
    </row>
    <row r="61" spans="1:12" ht="19.5" customHeight="1">
      <c r="A61" s="3"/>
      <c r="B61" s="3"/>
      <c r="C61" s="41" t="s">
        <v>24</v>
      </c>
      <c r="D61" s="3"/>
      <c r="E61" s="8" t="str">
        <f>CO表單!E61</f>
        <v>150/5</v>
      </c>
      <c r="F61" s="3" t="s">
        <v>25</v>
      </c>
      <c r="G61" s="3"/>
      <c r="H61" s="8" t="str">
        <f>CONCATENATE(一次側2,"A")</f>
        <v>150A</v>
      </c>
      <c r="I61" s="3" t="s">
        <v>67</v>
      </c>
      <c r="J61" s="66"/>
      <c r="K61" s="67">
        <f>IF(t0two=" ",Lever2,t0two)</f>
        <v>0.7</v>
      </c>
      <c r="L61" s="42"/>
    </row>
    <row r="62" spans="1:12" ht="19.5" customHeight="1">
      <c r="A62" s="3"/>
      <c r="B62" s="3"/>
      <c r="C62" s="41" t="s">
        <v>68</v>
      </c>
      <c r="D62" s="3"/>
      <c r="E62" s="8">
        <f>_Ts02</f>
        <v>0.1</v>
      </c>
      <c r="F62" s="3" t="s">
        <v>42</v>
      </c>
      <c r="G62" s="8" t="s">
        <v>82</v>
      </c>
      <c r="H62" s="8" t="str">
        <f>CONCATENATE(Is0two,"A")</f>
        <v>15A</v>
      </c>
      <c r="I62" s="3" t="s">
        <v>29</v>
      </c>
      <c r="J62" s="3"/>
      <c r="K62" s="33" t="str">
        <f>协调曲线图!W16</f>
        <v>SIT</v>
      </c>
      <c r="L62" s="14"/>
    </row>
    <row r="63" spans="1:12" ht="19.5" customHeight="1">
      <c r="A63" s="3"/>
      <c r="B63" s="3"/>
      <c r="C63" s="43" t="s">
        <v>102</v>
      </c>
      <c r="D63" s="44"/>
      <c r="E63" s="29">
        <f>_IIT02</f>
        <v>1</v>
      </c>
      <c r="F63" s="44" t="s">
        <v>42</v>
      </c>
      <c r="G63" s="8" t="s">
        <v>83</v>
      </c>
      <c r="H63" s="8" t="str">
        <f>CONCATENATE(F59,"A")</f>
        <v>150A</v>
      </c>
      <c r="I63" s="44"/>
      <c r="J63" s="44"/>
      <c r="K63" s="45"/>
      <c r="L63" s="17"/>
    </row>
    <row r="64" spans="1:12" ht="19.5" customHeight="1">
      <c r="A64" s="3"/>
      <c r="B64" s="3"/>
      <c r="C64" s="188" t="s">
        <v>31</v>
      </c>
      <c r="D64" s="117" t="s">
        <v>32</v>
      </c>
      <c r="E64" s="153"/>
      <c r="F64" s="153"/>
      <c r="G64" s="118"/>
      <c r="H64" s="154" t="s">
        <v>33</v>
      </c>
      <c r="I64" s="127"/>
      <c r="J64" s="127"/>
      <c r="K64" s="155"/>
      <c r="L64" s="14"/>
    </row>
    <row r="65" spans="1:12" ht="19.5" customHeight="1">
      <c r="A65" s="3"/>
      <c r="B65" s="3"/>
      <c r="C65" s="189"/>
      <c r="D65" s="117" t="s">
        <v>34</v>
      </c>
      <c r="E65" s="118"/>
      <c r="F65" s="110" t="s">
        <v>35</v>
      </c>
      <c r="G65" s="118"/>
      <c r="H65" s="156"/>
      <c r="I65" s="124"/>
      <c r="J65" s="124"/>
      <c r="K65" s="157"/>
      <c r="L65" s="14"/>
    </row>
    <row r="66" spans="1:12" ht="19.5" customHeight="1">
      <c r="A66" s="54" t="s">
        <v>14</v>
      </c>
      <c r="B66" s="33"/>
      <c r="C66" s="46">
        <v>2</v>
      </c>
      <c r="D66" s="134">
        <f t="shared" ref="D66:D75" si="2">F66/(covb2/covt2)</f>
        <v>30</v>
      </c>
      <c r="E66" s="135"/>
      <c r="F66" s="136">
        <f t="shared" ref="F66:F74" si="3">Is0two*$C66</f>
        <v>30</v>
      </c>
      <c r="G66" s="137"/>
      <c r="H66" s="138">
        <f>曲線Lever計算!$H9</f>
        <v>2.3637437420985892</v>
      </c>
      <c r="I66" s="139"/>
      <c r="J66" s="139"/>
      <c r="K66" s="140"/>
      <c r="L66" s="47"/>
    </row>
    <row r="67" spans="1:12" ht="19.5" customHeight="1">
      <c r="A67" s="54" t="s">
        <v>14</v>
      </c>
      <c r="B67" s="33"/>
      <c r="C67" s="46">
        <v>3</v>
      </c>
      <c r="D67" s="134">
        <f t="shared" si="2"/>
        <v>45</v>
      </c>
      <c r="E67" s="135"/>
      <c r="F67" s="136">
        <f t="shared" si="3"/>
        <v>45</v>
      </c>
      <c r="G67" s="137"/>
      <c r="H67" s="138">
        <f>曲線Lever計算!$H10</f>
        <v>1.4853035855336101</v>
      </c>
      <c r="I67" s="139"/>
      <c r="J67" s="139"/>
      <c r="K67" s="140"/>
      <c r="L67" s="47"/>
    </row>
    <row r="68" spans="1:12" ht="19.5" customHeight="1">
      <c r="A68" s="54" t="s">
        <v>14</v>
      </c>
      <c r="B68" s="33"/>
      <c r="C68" s="46">
        <v>4</v>
      </c>
      <c r="D68" s="134">
        <f t="shared" si="2"/>
        <v>60</v>
      </c>
      <c r="E68" s="135"/>
      <c r="F68" s="136">
        <f t="shared" si="3"/>
        <v>60</v>
      </c>
      <c r="G68" s="137"/>
      <c r="H68" s="138">
        <f>曲線Lever計算!$H11</f>
        <v>1.1736798906922483</v>
      </c>
      <c r="I68" s="139"/>
      <c r="J68" s="139"/>
      <c r="K68" s="140"/>
      <c r="L68" s="47"/>
    </row>
    <row r="69" spans="1:12" ht="19.5" customHeight="1">
      <c r="A69" s="54" t="s">
        <v>14</v>
      </c>
      <c r="B69" s="33"/>
      <c r="C69" s="46">
        <v>5</v>
      </c>
      <c r="D69" s="134">
        <f t="shared" si="2"/>
        <v>75</v>
      </c>
      <c r="E69" s="135"/>
      <c r="F69" s="136">
        <f t="shared" si="3"/>
        <v>75</v>
      </c>
      <c r="G69" s="137"/>
      <c r="H69" s="138">
        <f>曲線Lever計算!$H12</f>
        <v>1.0086882322093473</v>
      </c>
      <c r="I69" s="139"/>
      <c r="J69" s="139"/>
      <c r="K69" s="140"/>
      <c r="L69" s="47"/>
    </row>
    <row r="70" spans="1:12" ht="19.5" customHeight="1">
      <c r="A70" s="54" t="s">
        <v>14</v>
      </c>
      <c r="B70" s="33"/>
      <c r="C70" s="46">
        <v>6</v>
      </c>
      <c r="D70" s="134">
        <f t="shared" si="2"/>
        <v>90</v>
      </c>
      <c r="E70" s="135"/>
      <c r="F70" s="136">
        <f t="shared" si="3"/>
        <v>90</v>
      </c>
      <c r="G70" s="137"/>
      <c r="H70" s="138">
        <f>曲線Lever計算!$H13</f>
        <v>0.90438879390045634</v>
      </c>
      <c r="I70" s="139"/>
      <c r="J70" s="139"/>
      <c r="K70" s="140"/>
      <c r="L70" s="47"/>
    </row>
    <row r="71" spans="1:12" ht="19.5" customHeight="1">
      <c r="A71" s="54" t="s">
        <v>14</v>
      </c>
      <c r="B71" s="33"/>
      <c r="C71" s="46">
        <v>7</v>
      </c>
      <c r="D71" s="134">
        <f t="shared" si="2"/>
        <v>105</v>
      </c>
      <c r="E71" s="135"/>
      <c r="F71" s="136">
        <f t="shared" si="3"/>
        <v>105</v>
      </c>
      <c r="G71" s="137"/>
      <c r="H71" s="138">
        <f>曲線Lever計算!$H14</f>
        <v>0.831454444976364</v>
      </c>
      <c r="I71" s="139"/>
      <c r="J71" s="139"/>
      <c r="K71" s="140"/>
      <c r="L71" s="47"/>
    </row>
    <row r="72" spans="1:12" ht="19.5" customHeight="1">
      <c r="A72" s="54" t="s">
        <v>14</v>
      </c>
      <c r="B72" s="33"/>
      <c r="C72" s="46">
        <v>8</v>
      </c>
      <c r="D72" s="134">
        <f t="shared" si="2"/>
        <v>120</v>
      </c>
      <c r="E72" s="135"/>
      <c r="F72" s="136">
        <f t="shared" si="3"/>
        <v>120</v>
      </c>
      <c r="G72" s="137"/>
      <c r="H72" s="138">
        <f>曲線Lever計算!$H15</f>
        <v>0.77701735099211844</v>
      </c>
      <c r="I72" s="139"/>
      <c r="J72" s="139"/>
      <c r="K72" s="140"/>
      <c r="L72" s="47"/>
    </row>
    <row r="73" spans="1:12" ht="19.5" customHeight="1">
      <c r="A73" s="54" t="s">
        <v>14</v>
      </c>
      <c r="B73" s="33"/>
      <c r="C73" s="46">
        <v>9</v>
      </c>
      <c r="D73" s="134">
        <f t="shared" si="2"/>
        <v>135</v>
      </c>
      <c r="E73" s="135"/>
      <c r="F73" s="136">
        <f t="shared" si="3"/>
        <v>135</v>
      </c>
      <c r="G73" s="137"/>
      <c r="H73" s="138">
        <f>曲線Lever計算!$H16</f>
        <v>0.73449325713802005</v>
      </c>
      <c r="I73" s="139"/>
      <c r="J73" s="139"/>
      <c r="K73" s="140"/>
      <c r="L73" s="47"/>
    </row>
    <row r="74" spans="1:12" ht="19.5" customHeight="1">
      <c r="A74" s="54" t="s">
        <v>14</v>
      </c>
      <c r="B74" s="33"/>
      <c r="C74" s="46">
        <v>10</v>
      </c>
      <c r="D74" s="134">
        <f t="shared" si="2"/>
        <v>150</v>
      </c>
      <c r="E74" s="135"/>
      <c r="F74" s="136">
        <f t="shared" si="3"/>
        <v>150</v>
      </c>
      <c r="G74" s="137"/>
      <c r="H74" s="138">
        <f>曲線Lever計算!$H17</f>
        <v>0.7001410898760575</v>
      </c>
      <c r="I74" s="139"/>
      <c r="J74" s="139"/>
      <c r="K74" s="140"/>
      <c r="L74" s="47"/>
    </row>
    <row r="75" spans="1:12" ht="19.5" customHeight="1" thickBot="1">
      <c r="A75" s="54" t="s">
        <v>14</v>
      </c>
      <c r="B75" s="33"/>
      <c r="C75" s="48" t="s">
        <v>53</v>
      </c>
      <c r="D75" s="141">
        <f t="shared" si="2"/>
        <v>150</v>
      </c>
      <c r="E75" s="142"/>
      <c r="F75" s="141">
        <f>F59</f>
        <v>150</v>
      </c>
      <c r="G75" s="143"/>
      <c r="H75" s="144">
        <f>IF(Lco瞬跳時間2=" ",0.025,Lco瞬跳時間2)</f>
        <v>0.05</v>
      </c>
      <c r="I75" s="145"/>
      <c r="J75" s="145"/>
      <c r="K75" s="146"/>
      <c r="L75" s="47"/>
    </row>
    <row r="76" spans="1:12" ht="19.5" customHeight="1">
      <c r="A76" s="3"/>
      <c r="B76" s="3"/>
      <c r="C76" s="3" t="s">
        <v>14</v>
      </c>
      <c r="D76" s="3"/>
      <c r="E76" s="3"/>
      <c r="F76" s="3"/>
      <c r="G76" s="3"/>
      <c r="H76" s="3"/>
      <c r="I76" s="3"/>
      <c r="J76" s="3"/>
      <c r="K76" s="3"/>
      <c r="L76" s="17"/>
    </row>
    <row r="77" spans="1:12" ht="19.5" customHeight="1" thickBot="1">
      <c r="A77" s="3"/>
      <c r="B77" s="3"/>
      <c r="C77" s="128" t="s">
        <v>37</v>
      </c>
      <c r="D77" s="128"/>
      <c r="E77" s="128"/>
      <c r="F77" s="3"/>
      <c r="G77" s="3"/>
      <c r="H77" s="3"/>
      <c r="I77" s="3"/>
      <c r="J77" s="3"/>
      <c r="K77" s="3"/>
      <c r="L77" s="17"/>
    </row>
    <row r="78" spans="1:12" ht="19.5" customHeight="1">
      <c r="A78" s="3"/>
      <c r="B78" s="3"/>
      <c r="C78" s="31" t="s">
        <v>38</v>
      </c>
      <c r="D78" s="129" t="str">
        <f>F60</f>
        <v>SEPAM S40</v>
      </c>
      <c r="E78" s="183"/>
      <c r="F78" s="184" t="s">
        <v>39</v>
      </c>
      <c r="G78" s="132"/>
      <c r="H78" s="119" t="s">
        <v>70</v>
      </c>
      <c r="I78" s="124" t="s">
        <v>41</v>
      </c>
      <c r="J78" s="124"/>
      <c r="K78" s="124"/>
      <c r="L78" s="14"/>
    </row>
    <row r="79" spans="1:12" ht="19.5" customHeight="1">
      <c r="A79" s="3"/>
      <c r="B79" s="3"/>
      <c r="C79" s="31" t="s">
        <v>71</v>
      </c>
      <c r="D79" s="117" t="str">
        <f>CONCATENATE(一次側2,"A")</f>
        <v>150A</v>
      </c>
      <c r="E79" s="118"/>
      <c r="F79" s="110" t="s">
        <v>43</v>
      </c>
      <c r="G79" s="111"/>
      <c r="H79" s="119"/>
      <c r="I79" s="127" t="s">
        <v>44</v>
      </c>
      <c r="J79" s="127"/>
      <c r="K79" s="127"/>
      <c r="L79" s="14"/>
    </row>
    <row r="80" spans="1:12" ht="19.5" customHeight="1">
      <c r="A80" s="3"/>
      <c r="B80" s="3"/>
      <c r="C80" s="31" t="s">
        <v>72</v>
      </c>
      <c r="D80" s="117" t="str">
        <f>IF(AND(0.1&lt;=Is0two/一次側2,Is0two/一次側2&lt;=1),H62,"ERROR!")</f>
        <v>15A</v>
      </c>
      <c r="E80" s="118"/>
      <c r="F80" s="110" t="s">
        <v>73</v>
      </c>
      <c r="G80" s="111"/>
      <c r="H80" s="70" t="s">
        <v>134</v>
      </c>
      <c r="I80" s="133" t="s">
        <v>135</v>
      </c>
      <c r="J80" s="133"/>
      <c r="K80" s="133"/>
      <c r="L80" s="14"/>
    </row>
    <row r="81" spans="1:12" ht="19.5" customHeight="1">
      <c r="A81" s="3"/>
      <c r="B81" s="3"/>
      <c r="C81" s="31" t="s">
        <v>74</v>
      </c>
      <c r="D81" s="117">
        <f>Lever2</f>
        <v>0.1</v>
      </c>
      <c r="E81" s="118"/>
      <c r="F81" s="110" t="s">
        <v>50</v>
      </c>
      <c r="G81" s="111"/>
      <c r="H81" s="36" t="s">
        <v>75</v>
      </c>
      <c r="I81" s="112" t="s">
        <v>76</v>
      </c>
      <c r="J81" s="112"/>
      <c r="K81" s="112"/>
      <c r="L81" s="14"/>
    </row>
    <row r="82" spans="1:12" ht="19.5" customHeight="1">
      <c r="A82" s="3"/>
      <c r="B82" s="3"/>
      <c r="C82" s="31" t="s">
        <v>77</v>
      </c>
      <c r="D82" s="117" t="str">
        <f>IF(AND(0.1&lt;=F59/一次側2,F59/一次側2&lt;=15),H63,"ERROR!")</f>
        <v>150A</v>
      </c>
      <c r="E82" s="118"/>
      <c r="F82" s="110" t="s">
        <v>78</v>
      </c>
      <c r="G82" s="111"/>
      <c r="H82" s="119" t="s">
        <v>79</v>
      </c>
      <c r="I82" s="29" t="s">
        <v>80</v>
      </c>
      <c r="J82" s="112" t="s">
        <v>14</v>
      </c>
      <c r="K82" s="8"/>
      <c r="L82" s="14"/>
    </row>
    <row r="83" spans="1:12" ht="19.5" customHeight="1">
      <c r="A83" s="3"/>
      <c r="B83" s="3"/>
      <c r="C83" s="31" t="s">
        <v>81</v>
      </c>
      <c r="D83" s="181">
        <v>0.05</v>
      </c>
      <c r="E83" s="182"/>
      <c r="F83" s="122" t="s">
        <v>131</v>
      </c>
      <c r="G83" s="123"/>
      <c r="H83" s="119"/>
      <c r="I83" s="8" t="s">
        <v>101</v>
      </c>
      <c r="J83" s="112"/>
      <c r="K83" s="8"/>
      <c r="L83" s="14"/>
    </row>
    <row r="84" spans="1:12" ht="19.5" customHeight="1" thickBot="1">
      <c r="A84" s="3"/>
      <c r="B84" s="3"/>
      <c r="C84" s="37" t="s">
        <v>58</v>
      </c>
      <c r="D84" s="113" t="str">
        <f>K62</f>
        <v>SIT</v>
      </c>
      <c r="E84" s="114"/>
      <c r="F84" s="115"/>
      <c r="G84" s="116"/>
      <c r="H84" s="3"/>
      <c r="I84" s="8"/>
      <c r="J84" s="8"/>
      <c r="K84" s="8"/>
      <c r="L84" s="14"/>
    </row>
    <row r="85" spans="1:12" ht="19.5" customHeight="1"/>
    <row r="86" spans="1:12" ht="19.5" customHeight="1"/>
    <row r="87" spans="1:12" ht="19.5" customHeight="1"/>
    <row r="88" spans="1:12" ht="19.5" customHeight="1"/>
    <row r="89" spans="1:12" ht="19.5" customHeight="1">
      <c r="A89" s="1" t="s">
        <v>112</v>
      </c>
      <c r="B89" s="1"/>
      <c r="C89" s="2"/>
      <c r="D89" s="2"/>
      <c r="E89" s="2"/>
      <c r="F89" s="2"/>
      <c r="G89" s="2"/>
      <c r="H89" s="2"/>
      <c r="I89" s="2"/>
      <c r="J89" s="2"/>
      <c r="K89" s="2"/>
      <c r="L89" s="38"/>
    </row>
    <row r="90" spans="1:12" ht="19.5" customHeight="1" thickBot="1">
      <c r="A90" s="3"/>
      <c r="B90" s="3"/>
      <c r="C90" s="4" t="s">
        <v>60</v>
      </c>
      <c r="D90" s="4"/>
      <c r="E90" s="4"/>
      <c r="F90" s="4"/>
      <c r="G90" s="3"/>
      <c r="H90" s="3"/>
      <c r="I90" s="3"/>
      <c r="J90" s="3"/>
      <c r="K90" s="3"/>
      <c r="L90" s="17"/>
    </row>
    <row r="91" spans="1:12" ht="19.5" customHeight="1">
      <c r="A91" s="3"/>
      <c r="B91" s="3"/>
      <c r="C91" s="5" t="s">
        <v>5</v>
      </c>
      <c r="D91" s="6"/>
      <c r="E91" s="176" t="str">
        <f>CONCATENATE("Lco-",coname3)</f>
        <v>Lco-6kvC1变进线</v>
      </c>
      <c r="F91" s="176"/>
      <c r="G91" s="176"/>
      <c r="H91" s="6"/>
      <c r="I91" s="6"/>
      <c r="J91" s="6"/>
      <c r="K91" s="7"/>
      <c r="L91" s="3"/>
    </row>
    <row r="92" spans="1:12" ht="19.5" customHeight="1">
      <c r="A92" s="3"/>
      <c r="B92" s="3"/>
      <c r="C92" s="177" t="s">
        <v>6</v>
      </c>
      <c r="D92" s="178"/>
      <c r="E92" s="178"/>
      <c r="F92" s="8">
        <f>CO表單!F92</f>
        <v>3000</v>
      </c>
      <c r="G92" s="9" t="s">
        <v>7</v>
      </c>
      <c r="H92" s="179"/>
      <c r="I92" s="178"/>
      <c r="J92" s="178"/>
      <c r="K92" s="180"/>
      <c r="L92" s="10"/>
    </row>
    <row r="93" spans="1:12" ht="19.5" customHeight="1">
      <c r="A93" s="3"/>
      <c r="B93" s="3"/>
      <c r="C93" s="163" t="s">
        <v>8</v>
      </c>
      <c r="D93" s="164"/>
      <c r="E93" s="164"/>
      <c r="F93" s="8">
        <f>CO表單!F93</f>
        <v>11.4</v>
      </c>
      <c r="G93" s="9" t="s">
        <v>9</v>
      </c>
      <c r="H93" s="165"/>
      <c r="I93" s="166"/>
      <c r="J93" s="166"/>
      <c r="K93" s="167"/>
      <c r="L93" s="10"/>
    </row>
    <row r="94" spans="1:12" ht="19.5" customHeight="1">
      <c r="A94" s="3"/>
      <c r="B94" s="3"/>
      <c r="C94" s="163" t="s">
        <v>10</v>
      </c>
      <c r="D94" s="164"/>
      <c r="E94" s="164"/>
      <c r="F94" s="8">
        <f>CO表單!F94</f>
        <v>11.4</v>
      </c>
      <c r="G94" s="9" t="s">
        <v>9</v>
      </c>
      <c r="H94" s="165"/>
      <c r="I94" s="166"/>
      <c r="J94" s="166"/>
      <c r="K94" s="167"/>
      <c r="L94" s="10"/>
    </row>
    <row r="95" spans="1:12" ht="19.5" customHeight="1">
      <c r="A95" s="3"/>
      <c r="B95" s="3"/>
      <c r="C95" s="163" t="s">
        <v>11</v>
      </c>
      <c r="D95" s="164"/>
      <c r="E95" s="164"/>
      <c r="F95" s="8">
        <f>CO表單!F95</f>
        <v>100</v>
      </c>
      <c r="G95" s="9" t="s">
        <v>12</v>
      </c>
      <c r="H95" s="165"/>
      <c r="I95" s="166"/>
      <c r="J95" s="166"/>
      <c r="K95" s="167"/>
      <c r="L95" s="10"/>
    </row>
    <row r="96" spans="1:12" ht="19.5" customHeight="1">
      <c r="A96" s="16"/>
      <c r="B96" s="16"/>
      <c r="C96" s="163" t="s">
        <v>13</v>
      </c>
      <c r="D96" s="164"/>
      <c r="E96" s="164"/>
      <c r="F96" s="8" t="str">
        <f>CO表單!F96</f>
        <v>150/5</v>
      </c>
      <c r="G96" s="9" t="s">
        <v>14</v>
      </c>
      <c r="H96" s="165" t="str">
        <f>CO表單!H96</f>
        <v>= 150 / 5 = 30</v>
      </c>
      <c r="I96" s="166"/>
      <c r="J96" s="166"/>
      <c r="K96" s="167"/>
      <c r="L96" s="10"/>
    </row>
    <row r="97" spans="1:12" ht="19.5" customHeight="1">
      <c r="A97" s="3"/>
      <c r="B97" s="3"/>
      <c r="C97" s="163" t="s">
        <v>61</v>
      </c>
      <c r="D97" s="164"/>
      <c r="E97" s="164"/>
      <c r="F97" s="22"/>
      <c r="G97" s="9"/>
      <c r="H97" s="190"/>
      <c r="I97" s="191"/>
      <c r="J97" s="191"/>
      <c r="K97" s="192"/>
      <c r="L97" s="13"/>
    </row>
    <row r="98" spans="1:12" ht="19.5" customHeight="1">
      <c r="A98" s="3"/>
      <c r="B98" s="3"/>
      <c r="C98" s="163" t="s">
        <v>62</v>
      </c>
      <c r="D98" s="164"/>
      <c r="E98" s="164"/>
      <c r="F98" s="8" t="str">
        <f>IF(_Ts03=" ",CONCATENATE(0.1,"In"),CONCATENATE(_Ts03,"In"))</f>
        <v>0.1In</v>
      </c>
      <c r="G98" s="10" t="str">
        <f>IF(_Ts03=" ",CONCATENATE("=",0.1*二次側3,"A"),CONCATENATE("=",_Ts03*二次側3,"A"))</f>
        <v>=0.5A</v>
      </c>
      <c r="H98" s="165" t="str">
        <f>CONCATENATE("一般固定選用0.1In;手動設定為",_Ts03,"In")</f>
        <v>一般固定選用0.1In;手動設定為0.1In</v>
      </c>
      <c r="I98" s="166"/>
      <c r="J98" s="166"/>
      <c r="K98" s="167"/>
      <c r="L98" s="10"/>
    </row>
    <row r="99" spans="1:12" ht="19.5" customHeight="1">
      <c r="A99" s="3"/>
      <c r="B99" s="3"/>
      <c r="C99" s="163" t="s">
        <v>63</v>
      </c>
      <c r="D99" s="164"/>
      <c r="E99" s="164"/>
      <c r="F99" s="8">
        <f>Is0three</f>
        <v>15</v>
      </c>
      <c r="G99" s="9" t="s">
        <v>18</v>
      </c>
      <c r="H99" s="165"/>
      <c r="I99" s="166"/>
      <c r="J99" s="166"/>
      <c r="K99" s="167"/>
      <c r="L99" s="10"/>
    </row>
    <row r="100" spans="1:12" ht="19.5" customHeight="1">
      <c r="A100" s="3"/>
      <c r="B100" s="3"/>
      <c r="C100" s="163" t="s">
        <v>64</v>
      </c>
      <c r="D100" s="164"/>
      <c r="E100" s="164"/>
      <c r="F100" s="8">
        <f>Lever3</f>
        <v>0.1</v>
      </c>
      <c r="G100" s="9" t="s">
        <v>14</v>
      </c>
      <c r="H100" s="165"/>
      <c r="I100" s="166"/>
      <c r="J100" s="166"/>
      <c r="K100" s="167"/>
      <c r="L100" s="10"/>
    </row>
    <row r="101" spans="1:12" ht="19.5" customHeight="1">
      <c r="A101" s="3"/>
      <c r="B101" s="3"/>
      <c r="C101" s="163" t="s">
        <v>65</v>
      </c>
      <c r="D101" s="164"/>
      <c r="E101" s="164"/>
      <c r="F101" s="8" t="str">
        <f>CONCATENATE(_IIT03,"In")</f>
        <v>1In</v>
      </c>
      <c r="G101" s="9" t="str">
        <f>CONCATENATE("=",_IIT03*二次側3,"A")</f>
        <v>=5A</v>
      </c>
      <c r="H101" s="165" t="str">
        <f>CONCATENATE("一般固定選用1In;手動設定為",_IIT03,"In")</f>
        <v>一般固定選用1In;手動設定為1In</v>
      </c>
      <c r="I101" s="166"/>
      <c r="J101" s="166"/>
      <c r="K101" s="167"/>
      <c r="L101" s="10"/>
    </row>
    <row r="102" spans="1:12" ht="19.5" customHeight="1">
      <c r="A102" s="3"/>
      <c r="B102" s="3"/>
      <c r="C102" s="171" t="s">
        <v>132</v>
      </c>
      <c r="D102" s="172"/>
      <c r="E102" s="172"/>
      <c r="F102" s="68">
        <f>1.2*Is0three</f>
        <v>18</v>
      </c>
      <c r="G102" s="69" t="s">
        <v>18</v>
      </c>
      <c r="H102" s="168" t="s">
        <v>133</v>
      </c>
      <c r="I102" s="169"/>
      <c r="J102" s="169"/>
      <c r="K102" s="170"/>
      <c r="L102" s="39"/>
    </row>
    <row r="103" spans="1:12" ht="19.5" customHeight="1">
      <c r="A103" s="3"/>
      <c r="B103" s="3"/>
      <c r="C103" s="158" t="s">
        <v>66</v>
      </c>
      <c r="D103" s="159"/>
      <c r="E103" s="159"/>
      <c r="F103" s="29">
        <f>Lco瞬跳電流3</f>
        <v>150</v>
      </c>
      <c r="G103" s="40" t="s">
        <v>18</v>
      </c>
      <c r="H103" s="185" t="s">
        <v>100</v>
      </c>
      <c r="I103" s="159"/>
      <c r="J103" s="159"/>
      <c r="K103" s="186"/>
      <c r="L103" s="39"/>
    </row>
    <row r="104" spans="1:12" ht="19.5" customHeight="1">
      <c r="A104" s="3"/>
      <c r="B104" s="3"/>
      <c r="C104" s="147" t="s">
        <v>23</v>
      </c>
      <c r="D104" s="148"/>
      <c r="E104" s="148"/>
      <c r="F104" s="149" t="str">
        <f>CO表單!F104</f>
        <v>SEPAM S80</v>
      </c>
      <c r="G104" s="149"/>
      <c r="H104" s="149"/>
      <c r="I104" s="149"/>
      <c r="J104" s="149"/>
      <c r="K104" s="187"/>
      <c r="L104" s="39"/>
    </row>
    <row r="105" spans="1:12" ht="19.5" customHeight="1">
      <c r="A105" s="3"/>
      <c r="B105" s="3"/>
      <c r="C105" s="41" t="s">
        <v>24</v>
      </c>
      <c r="D105" s="3"/>
      <c r="E105" s="8" t="str">
        <f>CO表單!E105</f>
        <v>150/5</v>
      </c>
      <c r="F105" s="3" t="s">
        <v>25</v>
      </c>
      <c r="G105" s="3"/>
      <c r="H105" s="8" t="str">
        <f>CONCATENATE(一次側3,"A")</f>
        <v>150A</v>
      </c>
      <c r="I105" s="3" t="s">
        <v>67</v>
      </c>
      <c r="J105" s="66"/>
      <c r="K105" s="67">
        <f>IF(t0three=" ",Lever3,t0three)</f>
        <v>0.9</v>
      </c>
      <c r="L105" s="42"/>
    </row>
    <row r="106" spans="1:12" ht="19.5" customHeight="1">
      <c r="A106" s="3"/>
      <c r="B106" s="3"/>
      <c r="C106" s="41" t="s">
        <v>68</v>
      </c>
      <c r="D106" s="3"/>
      <c r="E106" s="8">
        <f>_Ts03</f>
        <v>0.1</v>
      </c>
      <c r="F106" s="3" t="s">
        <v>42</v>
      </c>
      <c r="G106" s="8" t="s">
        <v>82</v>
      </c>
      <c r="H106" s="8" t="str">
        <f>CONCATENATE(Is0three,"A")</f>
        <v>15A</v>
      </c>
      <c r="I106" s="3" t="s">
        <v>29</v>
      </c>
      <c r="J106" s="3"/>
      <c r="K106" s="33" t="str">
        <f>协调曲线图!W23</f>
        <v>SIT</v>
      </c>
      <c r="L106" s="14"/>
    </row>
    <row r="107" spans="1:12" ht="19.5" customHeight="1">
      <c r="A107" s="3"/>
      <c r="B107" s="3"/>
      <c r="C107" s="43" t="s">
        <v>102</v>
      </c>
      <c r="D107" s="44"/>
      <c r="E107" s="29">
        <f>_IIT03</f>
        <v>1</v>
      </c>
      <c r="F107" s="44" t="s">
        <v>42</v>
      </c>
      <c r="G107" s="8" t="s">
        <v>83</v>
      </c>
      <c r="H107" s="8" t="str">
        <f>CONCATENATE(F103,"A")</f>
        <v>150A</v>
      </c>
      <c r="I107" s="44"/>
      <c r="J107" s="44"/>
      <c r="K107" s="45"/>
      <c r="L107" s="17"/>
    </row>
    <row r="108" spans="1:12" ht="19.5" customHeight="1">
      <c r="A108" s="3"/>
      <c r="B108" s="3"/>
      <c r="C108" s="188" t="s">
        <v>31</v>
      </c>
      <c r="D108" s="117" t="s">
        <v>32</v>
      </c>
      <c r="E108" s="153"/>
      <c r="F108" s="153"/>
      <c r="G108" s="118"/>
      <c r="H108" s="154" t="s">
        <v>33</v>
      </c>
      <c r="I108" s="127"/>
      <c r="J108" s="127"/>
      <c r="K108" s="155"/>
      <c r="L108" s="14"/>
    </row>
    <row r="109" spans="1:12" ht="19.5" customHeight="1">
      <c r="A109" s="3"/>
      <c r="B109" s="3"/>
      <c r="C109" s="189"/>
      <c r="D109" s="117" t="s">
        <v>34</v>
      </c>
      <c r="E109" s="118"/>
      <c r="F109" s="110" t="s">
        <v>35</v>
      </c>
      <c r="G109" s="118"/>
      <c r="H109" s="156"/>
      <c r="I109" s="124"/>
      <c r="J109" s="124"/>
      <c r="K109" s="157"/>
      <c r="L109" s="14"/>
    </row>
    <row r="110" spans="1:12" ht="19.5" customHeight="1">
      <c r="A110" s="54" t="s">
        <v>14</v>
      </c>
      <c r="B110" s="33"/>
      <c r="C110" s="46">
        <v>2</v>
      </c>
      <c r="D110" s="134">
        <f t="shared" ref="D110:D119" si="4">F110/(covb3/covt3)</f>
        <v>30</v>
      </c>
      <c r="E110" s="135"/>
      <c r="F110" s="136">
        <f t="shared" ref="F110:F118" si="5">Is0three*$C110</f>
        <v>30</v>
      </c>
      <c r="G110" s="137"/>
      <c r="H110" s="138">
        <f>曲線Lever計算!$M9</f>
        <v>3.0390990969839007</v>
      </c>
      <c r="I110" s="139"/>
      <c r="J110" s="139"/>
      <c r="K110" s="140"/>
      <c r="L110" s="47"/>
    </row>
    <row r="111" spans="1:12" ht="19.5" customHeight="1">
      <c r="A111" s="54" t="s">
        <v>14</v>
      </c>
      <c r="B111" s="33"/>
      <c r="C111" s="46">
        <v>3</v>
      </c>
      <c r="D111" s="134">
        <f t="shared" si="4"/>
        <v>45</v>
      </c>
      <c r="E111" s="135"/>
      <c r="F111" s="136">
        <f t="shared" si="5"/>
        <v>45</v>
      </c>
      <c r="G111" s="137"/>
      <c r="H111" s="138">
        <f>曲線Lever計算!$M10</f>
        <v>1.9096760385432132</v>
      </c>
      <c r="I111" s="139"/>
      <c r="J111" s="139"/>
      <c r="K111" s="140"/>
      <c r="L111" s="47"/>
    </row>
    <row r="112" spans="1:12" ht="19.5" customHeight="1">
      <c r="A112" s="54" t="s">
        <v>14</v>
      </c>
      <c r="B112" s="33"/>
      <c r="C112" s="46">
        <v>4</v>
      </c>
      <c r="D112" s="134">
        <f t="shared" si="4"/>
        <v>60</v>
      </c>
      <c r="E112" s="135"/>
      <c r="F112" s="136">
        <f t="shared" si="5"/>
        <v>60</v>
      </c>
      <c r="G112" s="137"/>
      <c r="H112" s="138">
        <f>曲線Lever計算!$M11</f>
        <v>1.5090170023186054</v>
      </c>
      <c r="I112" s="139"/>
      <c r="J112" s="139"/>
      <c r="K112" s="140"/>
      <c r="L112" s="47"/>
    </row>
    <row r="113" spans="1:12" ht="19.5" customHeight="1">
      <c r="A113" s="54" t="s">
        <v>14</v>
      </c>
      <c r="B113" s="33"/>
      <c r="C113" s="46">
        <v>5</v>
      </c>
      <c r="D113" s="134">
        <f t="shared" si="4"/>
        <v>75</v>
      </c>
      <c r="E113" s="135"/>
      <c r="F113" s="136">
        <f t="shared" si="5"/>
        <v>75</v>
      </c>
      <c r="G113" s="137"/>
      <c r="H113" s="138">
        <f>曲線Lever計算!$M12</f>
        <v>1.2968848699834468</v>
      </c>
      <c r="I113" s="139"/>
      <c r="J113" s="139"/>
      <c r="K113" s="140"/>
      <c r="L113" s="47"/>
    </row>
    <row r="114" spans="1:12" ht="19.5" customHeight="1">
      <c r="A114" s="54" t="s">
        <v>14</v>
      </c>
      <c r="B114" s="33"/>
      <c r="C114" s="46">
        <v>6</v>
      </c>
      <c r="D114" s="134">
        <f t="shared" si="4"/>
        <v>90</v>
      </c>
      <c r="E114" s="135"/>
      <c r="F114" s="136">
        <f t="shared" si="5"/>
        <v>90</v>
      </c>
      <c r="G114" s="137"/>
      <c r="H114" s="138">
        <f>曲線Lever計算!$M13</f>
        <v>1.1627855921577297</v>
      </c>
      <c r="I114" s="139"/>
      <c r="J114" s="139"/>
      <c r="K114" s="140"/>
      <c r="L114" s="47"/>
    </row>
    <row r="115" spans="1:12" ht="19.5" customHeight="1">
      <c r="A115" s="54" t="s">
        <v>14</v>
      </c>
      <c r="B115" s="33"/>
      <c r="C115" s="46">
        <v>7</v>
      </c>
      <c r="D115" s="134">
        <f t="shared" si="4"/>
        <v>105</v>
      </c>
      <c r="E115" s="135"/>
      <c r="F115" s="136">
        <f t="shared" si="5"/>
        <v>105</v>
      </c>
      <c r="G115" s="137"/>
      <c r="H115" s="138">
        <f>曲線Lever計算!$M14</f>
        <v>1.0690128578267539</v>
      </c>
      <c r="I115" s="139"/>
      <c r="J115" s="139"/>
      <c r="K115" s="140"/>
      <c r="L115" s="47"/>
    </row>
    <row r="116" spans="1:12" ht="19.5" customHeight="1">
      <c r="A116" s="54" t="s">
        <v>14</v>
      </c>
      <c r="B116" s="33"/>
      <c r="C116" s="46">
        <v>8</v>
      </c>
      <c r="D116" s="134">
        <f t="shared" si="4"/>
        <v>120</v>
      </c>
      <c r="E116" s="135"/>
      <c r="F116" s="136">
        <f t="shared" si="5"/>
        <v>120</v>
      </c>
      <c r="G116" s="137"/>
      <c r="H116" s="138">
        <f>曲線Lever計算!$M15</f>
        <v>0.99902230841843809</v>
      </c>
      <c r="I116" s="139"/>
      <c r="J116" s="139"/>
      <c r="K116" s="140"/>
      <c r="L116" s="47"/>
    </row>
    <row r="117" spans="1:12" ht="19.5" customHeight="1">
      <c r="A117" s="54" t="s">
        <v>14</v>
      </c>
      <c r="B117" s="33"/>
      <c r="C117" s="46">
        <v>9</v>
      </c>
      <c r="D117" s="134">
        <f t="shared" si="4"/>
        <v>135</v>
      </c>
      <c r="E117" s="135"/>
      <c r="F117" s="136">
        <f t="shared" si="5"/>
        <v>135</v>
      </c>
      <c r="G117" s="137"/>
      <c r="H117" s="138">
        <f>曲線Lever計算!$M16</f>
        <v>0.94434847346316864</v>
      </c>
      <c r="I117" s="139"/>
      <c r="J117" s="139"/>
      <c r="K117" s="140"/>
      <c r="L117" s="47"/>
    </row>
    <row r="118" spans="1:12" ht="19.5" customHeight="1">
      <c r="A118" s="54" t="s">
        <v>14</v>
      </c>
      <c r="B118" s="33"/>
      <c r="C118" s="46">
        <v>10</v>
      </c>
      <c r="D118" s="134">
        <f t="shared" si="4"/>
        <v>150</v>
      </c>
      <c r="E118" s="135"/>
      <c r="F118" s="136">
        <f t="shared" si="5"/>
        <v>150</v>
      </c>
      <c r="G118" s="137"/>
      <c r="H118" s="138">
        <f>曲線Lever計算!$M17</f>
        <v>0.90018140126921686</v>
      </c>
      <c r="I118" s="139"/>
      <c r="J118" s="139"/>
      <c r="K118" s="140"/>
      <c r="L118" s="47"/>
    </row>
    <row r="119" spans="1:12" ht="19.5" customHeight="1" thickBot="1">
      <c r="A119" s="54" t="s">
        <v>14</v>
      </c>
      <c r="B119" s="33"/>
      <c r="C119" s="48" t="s">
        <v>53</v>
      </c>
      <c r="D119" s="141">
        <f t="shared" si="4"/>
        <v>150</v>
      </c>
      <c r="E119" s="142"/>
      <c r="F119" s="141">
        <f>F103</f>
        <v>150</v>
      </c>
      <c r="G119" s="143"/>
      <c r="H119" s="144">
        <f>IF(Lco瞬跳時間3=" ",0.025,Lco瞬跳時間3)</f>
        <v>0.05</v>
      </c>
      <c r="I119" s="145"/>
      <c r="J119" s="145"/>
      <c r="K119" s="146"/>
      <c r="L119" s="47"/>
    </row>
    <row r="120" spans="1:12" ht="19.5" customHeight="1">
      <c r="A120" s="3"/>
      <c r="B120" s="3"/>
      <c r="C120" s="3" t="s">
        <v>14</v>
      </c>
      <c r="D120" s="3"/>
      <c r="E120" s="3"/>
      <c r="F120" s="3"/>
      <c r="G120" s="3"/>
      <c r="H120" s="3"/>
      <c r="I120" s="3"/>
      <c r="J120" s="3"/>
      <c r="K120" s="3"/>
      <c r="L120" s="17"/>
    </row>
    <row r="121" spans="1:12" ht="19.5" customHeight="1" thickBot="1">
      <c r="A121" s="3"/>
      <c r="B121" s="3"/>
      <c r="C121" s="128" t="s">
        <v>37</v>
      </c>
      <c r="D121" s="128"/>
      <c r="E121" s="128"/>
      <c r="F121" s="3"/>
      <c r="G121" s="3"/>
      <c r="H121" s="3"/>
      <c r="I121" s="3"/>
      <c r="J121" s="3"/>
      <c r="K121" s="3"/>
      <c r="L121" s="17"/>
    </row>
    <row r="122" spans="1:12" ht="19.5" customHeight="1">
      <c r="A122" s="3"/>
      <c r="B122" s="3"/>
      <c r="C122" s="31" t="s">
        <v>38</v>
      </c>
      <c r="D122" s="129" t="str">
        <f>F104</f>
        <v>SEPAM S80</v>
      </c>
      <c r="E122" s="183"/>
      <c r="F122" s="184" t="s">
        <v>39</v>
      </c>
      <c r="G122" s="132"/>
      <c r="H122" s="119" t="s">
        <v>70</v>
      </c>
      <c r="I122" s="124" t="s">
        <v>41</v>
      </c>
      <c r="J122" s="124"/>
      <c r="K122" s="124"/>
      <c r="L122" s="14"/>
    </row>
    <row r="123" spans="1:12" ht="19.5" customHeight="1">
      <c r="A123" s="3"/>
      <c r="B123" s="3"/>
      <c r="C123" s="31" t="s">
        <v>71</v>
      </c>
      <c r="D123" s="117" t="str">
        <f>CONCATENATE(一次側3,"A")</f>
        <v>150A</v>
      </c>
      <c r="E123" s="118"/>
      <c r="F123" s="110" t="s">
        <v>43</v>
      </c>
      <c r="G123" s="111"/>
      <c r="H123" s="119"/>
      <c r="I123" s="127" t="s">
        <v>44</v>
      </c>
      <c r="J123" s="127"/>
      <c r="K123" s="127"/>
      <c r="L123" s="14"/>
    </row>
    <row r="124" spans="1:12" ht="19.5" customHeight="1">
      <c r="A124" s="3"/>
      <c r="B124" s="3"/>
      <c r="C124" s="31" t="s">
        <v>72</v>
      </c>
      <c r="D124" s="117" t="str">
        <f>IF(AND(0.1&lt;=Is0three/一次側3,Is0three/一次側3&lt;=1),H106,"ERROR!")</f>
        <v>15A</v>
      </c>
      <c r="E124" s="118"/>
      <c r="F124" s="110" t="s">
        <v>73</v>
      </c>
      <c r="G124" s="111"/>
      <c r="H124" s="70" t="s">
        <v>134</v>
      </c>
      <c r="I124" s="133" t="s">
        <v>135</v>
      </c>
      <c r="J124" s="133"/>
      <c r="K124" s="133"/>
      <c r="L124" s="14"/>
    </row>
    <row r="125" spans="1:12" ht="19.5" customHeight="1">
      <c r="A125" s="3"/>
      <c r="B125" s="3"/>
      <c r="C125" s="31" t="s">
        <v>74</v>
      </c>
      <c r="D125" s="108">
        <f>Lever3</f>
        <v>0.1</v>
      </c>
      <c r="E125" s="109"/>
      <c r="F125" s="110" t="s">
        <v>50</v>
      </c>
      <c r="G125" s="111"/>
      <c r="H125" s="36" t="s">
        <v>75</v>
      </c>
      <c r="I125" s="112" t="s">
        <v>76</v>
      </c>
      <c r="J125" s="112"/>
      <c r="K125" s="112"/>
      <c r="L125" s="14"/>
    </row>
    <row r="126" spans="1:12" ht="19.5" customHeight="1">
      <c r="A126" s="3"/>
      <c r="B126" s="3"/>
      <c r="C126" s="31" t="s">
        <v>77</v>
      </c>
      <c r="D126" s="117" t="str">
        <f>IF(AND(0.1&lt;=F103/一次側3,F103/一次側3&lt;=15),H107,"ERROR!")</f>
        <v>150A</v>
      </c>
      <c r="E126" s="118"/>
      <c r="F126" s="110" t="s">
        <v>78</v>
      </c>
      <c r="G126" s="111"/>
      <c r="H126" s="119" t="s">
        <v>79</v>
      </c>
      <c r="I126" s="29" t="s">
        <v>80</v>
      </c>
      <c r="J126" s="112" t="s">
        <v>14</v>
      </c>
      <c r="K126" s="8"/>
      <c r="L126" s="14"/>
    </row>
    <row r="127" spans="1:12" ht="19.5" customHeight="1">
      <c r="A127" s="3"/>
      <c r="B127" s="3"/>
      <c r="C127" s="31" t="s">
        <v>81</v>
      </c>
      <c r="D127" s="181">
        <v>0.05</v>
      </c>
      <c r="E127" s="182"/>
      <c r="F127" s="122" t="s">
        <v>131</v>
      </c>
      <c r="G127" s="123"/>
      <c r="H127" s="119"/>
      <c r="I127" s="8" t="s">
        <v>101</v>
      </c>
      <c r="J127" s="112"/>
      <c r="K127" s="8"/>
      <c r="L127" s="14"/>
    </row>
    <row r="128" spans="1:12" ht="19.5" customHeight="1" thickBot="1">
      <c r="A128" s="3"/>
      <c r="B128" s="3"/>
      <c r="C128" s="37" t="s">
        <v>58</v>
      </c>
      <c r="D128" s="113" t="str">
        <f>K106</f>
        <v>SIT</v>
      </c>
      <c r="E128" s="114"/>
      <c r="F128" s="115"/>
      <c r="G128" s="116"/>
      <c r="H128" s="3"/>
      <c r="I128" s="8"/>
      <c r="J128" s="8"/>
      <c r="K128" s="8"/>
      <c r="L128" s="14"/>
    </row>
    <row r="129" spans="1:12" ht="19.5" customHeight="1"/>
    <row r="130" spans="1:12" ht="19.5" customHeight="1"/>
    <row r="131" spans="1:12" ht="19.5" customHeight="1"/>
    <row r="132" spans="1:12" ht="19.5" customHeight="1"/>
    <row r="133" spans="1:12" ht="19.5" customHeight="1">
      <c r="A133" s="1" t="s">
        <v>111</v>
      </c>
      <c r="B133" s="1"/>
      <c r="C133" s="2"/>
      <c r="D133" s="2"/>
      <c r="E133" s="2"/>
      <c r="F133" s="2"/>
      <c r="G133" s="2"/>
      <c r="H133" s="2"/>
      <c r="I133" s="2"/>
      <c r="J133" s="2"/>
      <c r="K133" s="2"/>
      <c r="L133" s="38"/>
    </row>
    <row r="134" spans="1:12" ht="19.5" customHeight="1" thickBot="1">
      <c r="A134" s="3"/>
      <c r="B134" s="3"/>
      <c r="C134" s="4" t="s">
        <v>60</v>
      </c>
      <c r="D134" s="4"/>
      <c r="E134" s="4"/>
      <c r="F134" s="4"/>
      <c r="G134" s="3"/>
      <c r="H134" s="3"/>
      <c r="I134" s="3"/>
      <c r="J134" s="3"/>
      <c r="K134" s="3"/>
      <c r="L134" s="17"/>
    </row>
    <row r="135" spans="1:12" ht="19.5" customHeight="1">
      <c r="A135" s="3"/>
      <c r="B135" s="3"/>
      <c r="C135" s="5" t="s">
        <v>5</v>
      </c>
      <c r="D135" s="6"/>
      <c r="E135" s="176" t="str">
        <f>CONCATENATE("Lco-",coname4)</f>
        <v>Lco-20Kv馈线</v>
      </c>
      <c r="F135" s="176"/>
      <c r="G135" s="176"/>
      <c r="H135" s="6"/>
      <c r="I135" s="6"/>
      <c r="J135" s="6"/>
      <c r="K135" s="7"/>
      <c r="L135" s="3"/>
    </row>
    <row r="136" spans="1:12" ht="19.5" customHeight="1">
      <c r="A136" s="3"/>
      <c r="B136" s="3"/>
      <c r="C136" s="177" t="s">
        <v>6</v>
      </c>
      <c r="D136" s="178"/>
      <c r="E136" s="178"/>
      <c r="F136" s="8">
        <f>CO表單!F136</f>
        <v>4000</v>
      </c>
      <c r="G136" s="9" t="s">
        <v>7</v>
      </c>
      <c r="H136" s="179"/>
      <c r="I136" s="178"/>
      <c r="J136" s="178"/>
      <c r="K136" s="180"/>
      <c r="L136" s="10"/>
    </row>
    <row r="137" spans="1:12" ht="19.5" customHeight="1">
      <c r="A137" s="3"/>
      <c r="B137" s="3"/>
      <c r="C137" s="163" t="s">
        <v>8</v>
      </c>
      <c r="D137" s="164"/>
      <c r="E137" s="164"/>
      <c r="F137" s="8">
        <f>CO表單!F137</f>
        <v>11.4</v>
      </c>
      <c r="G137" s="9" t="s">
        <v>9</v>
      </c>
      <c r="H137" s="165"/>
      <c r="I137" s="166"/>
      <c r="J137" s="166"/>
      <c r="K137" s="167"/>
      <c r="L137" s="10"/>
    </row>
    <row r="138" spans="1:12" ht="19.5" customHeight="1">
      <c r="A138" s="3"/>
      <c r="B138" s="3"/>
      <c r="C138" s="163" t="s">
        <v>10</v>
      </c>
      <c r="D138" s="164"/>
      <c r="E138" s="164"/>
      <c r="F138" s="8">
        <f>CO表單!F138</f>
        <v>11.4</v>
      </c>
      <c r="G138" s="9" t="s">
        <v>9</v>
      </c>
      <c r="H138" s="165"/>
      <c r="I138" s="166"/>
      <c r="J138" s="166"/>
      <c r="K138" s="167"/>
      <c r="L138" s="10"/>
    </row>
    <row r="139" spans="1:12" ht="19.5" customHeight="1">
      <c r="A139" s="3"/>
      <c r="B139" s="3"/>
      <c r="C139" s="163" t="s">
        <v>11</v>
      </c>
      <c r="D139" s="164"/>
      <c r="E139" s="164"/>
      <c r="F139" s="8">
        <f>CO表單!F139</f>
        <v>100</v>
      </c>
      <c r="G139" s="9" t="s">
        <v>12</v>
      </c>
      <c r="H139" s="165"/>
      <c r="I139" s="166"/>
      <c r="J139" s="166"/>
      <c r="K139" s="167"/>
      <c r="L139" s="10"/>
    </row>
    <row r="140" spans="1:12" ht="19.5" customHeight="1">
      <c r="A140" s="16"/>
      <c r="B140" s="16"/>
      <c r="C140" s="163" t="s">
        <v>13</v>
      </c>
      <c r="D140" s="164"/>
      <c r="E140" s="164"/>
      <c r="F140" s="8" t="str">
        <f>CO表單!F140</f>
        <v>150/5</v>
      </c>
      <c r="G140" s="9" t="s">
        <v>14</v>
      </c>
      <c r="H140" s="165" t="str">
        <f>CO表單!H140</f>
        <v>= 150 / 5 = 30</v>
      </c>
      <c r="I140" s="166"/>
      <c r="J140" s="166"/>
      <c r="K140" s="167"/>
      <c r="L140" s="10"/>
    </row>
    <row r="141" spans="1:12" ht="19.5" customHeight="1">
      <c r="A141" s="3"/>
      <c r="B141" s="3"/>
      <c r="C141" s="163" t="s">
        <v>61</v>
      </c>
      <c r="D141" s="164"/>
      <c r="E141" s="164"/>
      <c r="F141" s="22"/>
      <c r="G141" s="9"/>
      <c r="H141" s="190"/>
      <c r="I141" s="191"/>
      <c r="J141" s="191"/>
      <c r="K141" s="192"/>
      <c r="L141" s="13"/>
    </row>
    <row r="142" spans="1:12" ht="19.5" customHeight="1">
      <c r="A142" s="3"/>
      <c r="B142" s="3"/>
      <c r="C142" s="163" t="s">
        <v>62</v>
      </c>
      <c r="D142" s="164"/>
      <c r="E142" s="164"/>
      <c r="F142" s="8" t="str">
        <f>IF(_Ts04=" ",CONCATENATE(0.1,"In"),CONCATENATE(_Ts04,"In"))</f>
        <v>0.1In</v>
      </c>
      <c r="G142" s="10" t="str">
        <f>IF(_Ts04=" ",CONCATENATE("=",0.1*二次側4,"A"),CONCATENATE("=",_Ts04*二次側4,"A"))</f>
        <v>=0.5A</v>
      </c>
      <c r="H142" s="165" t="str">
        <f>CONCATENATE("一般固定選用0.1In;手動設定為",_Ts04,"In")</f>
        <v>一般固定選用0.1In;手動設定為0.1In</v>
      </c>
      <c r="I142" s="166"/>
      <c r="J142" s="166"/>
      <c r="K142" s="167"/>
      <c r="L142" s="10"/>
    </row>
    <row r="143" spans="1:12" ht="19.5" customHeight="1">
      <c r="A143" s="3"/>
      <c r="B143" s="3"/>
      <c r="C143" s="163" t="s">
        <v>63</v>
      </c>
      <c r="D143" s="164"/>
      <c r="E143" s="164"/>
      <c r="F143" s="8">
        <f>Is0four</f>
        <v>15</v>
      </c>
      <c r="G143" s="9" t="s">
        <v>18</v>
      </c>
      <c r="H143" s="165"/>
      <c r="I143" s="166"/>
      <c r="J143" s="166"/>
      <c r="K143" s="167"/>
      <c r="L143" s="10"/>
    </row>
    <row r="144" spans="1:12" ht="19.5" customHeight="1">
      <c r="A144" s="3"/>
      <c r="B144" s="3"/>
      <c r="C144" s="163" t="s">
        <v>64</v>
      </c>
      <c r="D144" s="164"/>
      <c r="E144" s="164"/>
      <c r="F144" s="8">
        <f>Lever4</f>
        <v>0.1</v>
      </c>
      <c r="G144" s="9" t="s">
        <v>14</v>
      </c>
      <c r="H144" s="165"/>
      <c r="I144" s="166"/>
      <c r="J144" s="166"/>
      <c r="K144" s="167"/>
      <c r="L144" s="10"/>
    </row>
    <row r="145" spans="1:12" ht="19.5" customHeight="1">
      <c r="A145" s="3"/>
      <c r="B145" s="3"/>
      <c r="C145" s="163" t="s">
        <v>65</v>
      </c>
      <c r="D145" s="164"/>
      <c r="E145" s="164"/>
      <c r="F145" s="8" t="str">
        <f>CONCATENATE(_IIT04,"In")</f>
        <v>1In</v>
      </c>
      <c r="G145" s="9" t="str">
        <f>CONCATENATE("=",_IIT04*二次側4,"A")</f>
        <v>=5A</v>
      </c>
      <c r="H145" s="165" t="str">
        <f>CONCATENATE("一般固定選用1In;手動設定為",_IIT04,"In")</f>
        <v>一般固定選用1In;手動設定為1In</v>
      </c>
      <c r="I145" s="166"/>
      <c r="J145" s="166"/>
      <c r="K145" s="167"/>
      <c r="L145" s="10"/>
    </row>
    <row r="146" spans="1:12" ht="19.5" customHeight="1">
      <c r="A146" s="3"/>
      <c r="B146" s="3"/>
      <c r="C146" s="171" t="s">
        <v>132</v>
      </c>
      <c r="D146" s="172"/>
      <c r="E146" s="172"/>
      <c r="F146" s="68">
        <f>1.2*Is0four</f>
        <v>18</v>
      </c>
      <c r="G146" s="69" t="s">
        <v>18</v>
      </c>
      <c r="H146" s="168" t="s">
        <v>133</v>
      </c>
      <c r="I146" s="169"/>
      <c r="J146" s="169"/>
      <c r="K146" s="170"/>
      <c r="L146" s="39"/>
    </row>
    <row r="147" spans="1:12" ht="19.5" customHeight="1">
      <c r="A147" s="3"/>
      <c r="B147" s="3"/>
      <c r="C147" s="158" t="s">
        <v>66</v>
      </c>
      <c r="D147" s="159"/>
      <c r="E147" s="159"/>
      <c r="F147" s="29">
        <f>Lco瞬跳電流4</f>
        <v>150</v>
      </c>
      <c r="G147" s="40" t="s">
        <v>18</v>
      </c>
      <c r="H147" s="185" t="s">
        <v>100</v>
      </c>
      <c r="I147" s="159"/>
      <c r="J147" s="159"/>
      <c r="K147" s="186"/>
      <c r="L147" s="39"/>
    </row>
    <row r="148" spans="1:12" ht="19.5" customHeight="1">
      <c r="A148" s="3"/>
      <c r="B148" s="3"/>
      <c r="C148" s="147" t="s">
        <v>23</v>
      </c>
      <c r="D148" s="148"/>
      <c r="E148" s="148"/>
      <c r="F148" s="149" t="str">
        <f>CO表單!F148</f>
        <v>SEPAM G40</v>
      </c>
      <c r="G148" s="149"/>
      <c r="H148" s="149"/>
      <c r="I148" s="149"/>
      <c r="J148" s="149"/>
      <c r="K148" s="187"/>
      <c r="L148" s="39"/>
    </row>
    <row r="149" spans="1:12" ht="19.5" customHeight="1">
      <c r="A149" s="3"/>
      <c r="B149" s="3"/>
      <c r="C149" s="41" t="s">
        <v>24</v>
      </c>
      <c r="D149" s="3"/>
      <c r="E149" s="8" t="str">
        <f>CO表單!E149</f>
        <v>150/5</v>
      </c>
      <c r="F149" s="3" t="s">
        <v>25</v>
      </c>
      <c r="G149" s="3"/>
      <c r="H149" s="8" t="str">
        <f>CONCATENATE(一次側4,"A")</f>
        <v>150A</v>
      </c>
      <c r="I149" s="3" t="s">
        <v>67</v>
      </c>
      <c r="J149" s="66"/>
      <c r="K149" s="67">
        <f>IF(t0four=" ",Lever4,t0four)</f>
        <v>1.1000000000000001</v>
      </c>
      <c r="L149" s="42"/>
    </row>
    <row r="150" spans="1:12" ht="19.5" customHeight="1">
      <c r="A150" s="3"/>
      <c r="B150" s="3"/>
      <c r="C150" s="41" t="s">
        <v>68</v>
      </c>
      <c r="D150" s="3"/>
      <c r="E150" s="8">
        <f>_Ts04</f>
        <v>0.1</v>
      </c>
      <c r="F150" s="3" t="s">
        <v>42</v>
      </c>
      <c r="G150" s="8" t="s">
        <v>82</v>
      </c>
      <c r="H150" s="8" t="str">
        <f>CONCATENATE(Is0four,"A")</f>
        <v>15A</v>
      </c>
      <c r="I150" s="3" t="s">
        <v>29</v>
      </c>
      <c r="J150" s="65"/>
      <c r="K150" s="33" t="str">
        <f>协调曲线图!W30</f>
        <v>SIT</v>
      </c>
      <c r="L150" s="14"/>
    </row>
    <row r="151" spans="1:12" ht="19.5" customHeight="1">
      <c r="A151" s="3"/>
      <c r="B151" s="3"/>
      <c r="C151" s="43" t="s">
        <v>102</v>
      </c>
      <c r="D151" s="44"/>
      <c r="E151" s="29">
        <f>_IIT04</f>
        <v>1</v>
      </c>
      <c r="F151" s="44" t="s">
        <v>42</v>
      </c>
      <c r="G151" s="8" t="s">
        <v>83</v>
      </c>
      <c r="H151" s="8" t="str">
        <f>CONCATENATE(F147,"A")</f>
        <v>150A</v>
      </c>
      <c r="I151" s="44"/>
      <c r="J151" s="44"/>
      <c r="K151" s="45"/>
      <c r="L151" s="17"/>
    </row>
    <row r="152" spans="1:12" ht="19.5" customHeight="1">
      <c r="A152" s="3"/>
      <c r="B152" s="3"/>
      <c r="C152" s="188" t="s">
        <v>31</v>
      </c>
      <c r="D152" s="117" t="s">
        <v>32</v>
      </c>
      <c r="E152" s="153"/>
      <c r="F152" s="153"/>
      <c r="G152" s="118"/>
      <c r="H152" s="154" t="s">
        <v>33</v>
      </c>
      <c r="I152" s="127"/>
      <c r="J152" s="127"/>
      <c r="K152" s="155"/>
      <c r="L152" s="14"/>
    </row>
    <row r="153" spans="1:12" ht="19.5" customHeight="1">
      <c r="A153" s="3"/>
      <c r="B153" s="3"/>
      <c r="C153" s="189"/>
      <c r="D153" s="117" t="s">
        <v>34</v>
      </c>
      <c r="E153" s="118"/>
      <c r="F153" s="110" t="s">
        <v>35</v>
      </c>
      <c r="G153" s="118"/>
      <c r="H153" s="156"/>
      <c r="I153" s="124"/>
      <c r="J153" s="124"/>
      <c r="K153" s="157"/>
      <c r="L153" s="14"/>
    </row>
    <row r="154" spans="1:12" ht="19.5" customHeight="1">
      <c r="A154" s="54" t="s">
        <v>14</v>
      </c>
      <c r="B154" s="33"/>
      <c r="C154" s="46">
        <v>2</v>
      </c>
      <c r="D154" s="134">
        <f t="shared" ref="D154:D163" si="6">F154/(covb4/covt4)</f>
        <v>30</v>
      </c>
      <c r="E154" s="135"/>
      <c r="F154" s="136">
        <f t="shared" ref="F154:F162" si="7">Is0four*$C154</f>
        <v>30</v>
      </c>
      <c r="G154" s="137"/>
      <c r="H154" s="138">
        <f>曲線Lever計算!$R9</f>
        <v>3.7144544518692117</v>
      </c>
      <c r="I154" s="139"/>
      <c r="J154" s="139"/>
      <c r="K154" s="140"/>
      <c r="L154" s="47"/>
    </row>
    <row r="155" spans="1:12" ht="19.5" customHeight="1">
      <c r="A155" s="54" t="s">
        <v>14</v>
      </c>
      <c r="B155" s="33"/>
      <c r="C155" s="46">
        <v>3</v>
      </c>
      <c r="D155" s="134">
        <f t="shared" si="6"/>
        <v>45</v>
      </c>
      <c r="E155" s="135"/>
      <c r="F155" s="136">
        <f t="shared" si="7"/>
        <v>45</v>
      </c>
      <c r="G155" s="137"/>
      <c r="H155" s="138">
        <f>曲線Lever計算!$R10</f>
        <v>2.3340484915528159</v>
      </c>
      <c r="I155" s="139"/>
      <c r="J155" s="139"/>
      <c r="K155" s="140"/>
      <c r="L155" s="47"/>
    </row>
    <row r="156" spans="1:12" ht="19.5" customHeight="1">
      <c r="A156" s="54" t="s">
        <v>14</v>
      </c>
      <c r="B156" s="33"/>
      <c r="C156" s="46">
        <v>4</v>
      </c>
      <c r="D156" s="134">
        <f t="shared" si="6"/>
        <v>60</v>
      </c>
      <c r="E156" s="135"/>
      <c r="F156" s="136">
        <f t="shared" si="7"/>
        <v>60</v>
      </c>
      <c r="G156" s="137"/>
      <c r="H156" s="138">
        <f>曲線Lever計算!$R11</f>
        <v>1.8443541139449617</v>
      </c>
      <c r="I156" s="139"/>
      <c r="J156" s="139"/>
      <c r="K156" s="140"/>
      <c r="L156" s="47"/>
    </row>
    <row r="157" spans="1:12" ht="19.5" customHeight="1">
      <c r="A157" s="54" t="s">
        <v>14</v>
      </c>
      <c r="B157" s="33"/>
      <c r="C157" s="46">
        <v>5</v>
      </c>
      <c r="D157" s="134">
        <f t="shared" si="6"/>
        <v>75</v>
      </c>
      <c r="E157" s="135"/>
      <c r="F157" s="136">
        <f t="shared" si="7"/>
        <v>75</v>
      </c>
      <c r="G157" s="137"/>
      <c r="H157" s="138">
        <f>曲線Lever計算!$R12</f>
        <v>1.585081507757546</v>
      </c>
      <c r="I157" s="139"/>
      <c r="J157" s="139"/>
      <c r="K157" s="140"/>
      <c r="L157" s="47"/>
    </row>
    <row r="158" spans="1:12" ht="19.5" customHeight="1">
      <c r="A158" s="54" t="s">
        <v>14</v>
      </c>
      <c r="B158" s="33"/>
      <c r="C158" s="46">
        <v>6</v>
      </c>
      <c r="D158" s="134">
        <f t="shared" si="6"/>
        <v>90</v>
      </c>
      <c r="E158" s="135"/>
      <c r="F158" s="136">
        <f t="shared" si="7"/>
        <v>90</v>
      </c>
      <c r="G158" s="137"/>
      <c r="H158" s="138">
        <f>曲線Lever計算!$R13</f>
        <v>1.4211823904150027</v>
      </c>
      <c r="I158" s="139"/>
      <c r="J158" s="139"/>
      <c r="K158" s="140"/>
      <c r="L158" s="47"/>
    </row>
    <row r="159" spans="1:12" ht="19.5" customHeight="1">
      <c r="A159" s="54" t="s">
        <v>14</v>
      </c>
      <c r="B159" s="33"/>
      <c r="C159" s="46">
        <v>7</v>
      </c>
      <c r="D159" s="134">
        <f t="shared" si="6"/>
        <v>105</v>
      </c>
      <c r="E159" s="135"/>
      <c r="F159" s="136">
        <f t="shared" si="7"/>
        <v>105</v>
      </c>
      <c r="G159" s="137"/>
      <c r="H159" s="138">
        <f>曲線Lever計算!$R14</f>
        <v>1.3065712706771435</v>
      </c>
      <c r="I159" s="139"/>
      <c r="J159" s="139"/>
      <c r="K159" s="140"/>
      <c r="L159" s="47"/>
    </row>
    <row r="160" spans="1:12" ht="19.5" customHeight="1">
      <c r="A160" s="54" t="s">
        <v>14</v>
      </c>
      <c r="B160" s="33"/>
      <c r="C160" s="46">
        <v>8</v>
      </c>
      <c r="D160" s="134">
        <f t="shared" si="6"/>
        <v>120</v>
      </c>
      <c r="E160" s="135"/>
      <c r="F160" s="136">
        <f t="shared" si="7"/>
        <v>120</v>
      </c>
      <c r="G160" s="137"/>
      <c r="H160" s="138">
        <f>曲線Lever計算!$R15</f>
        <v>1.2210272658447576</v>
      </c>
      <c r="I160" s="139"/>
      <c r="J160" s="139"/>
      <c r="K160" s="140"/>
      <c r="L160" s="47"/>
    </row>
    <row r="161" spans="1:12" ht="19.5" customHeight="1">
      <c r="A161" s="54" t="s">
        <v>14</v>
      </c>
      <c r="B161" s="33"/>
      <c r="C161" s="46">
        <v>9</v>
      </c>
      <c r="D161" s="134">
        <f t="shared" si="6"/>
        <v>135</v>
      </c>
      <c r="E161" s="135"/>
      <c r="F161" s="136">
        <f t="shared" si="7"/>
        <v>135</v>
      </c>
      <c r="G161" s="137"/>
      <c r="H161" s="138">
        <f>曲線Lever計算!$R16</f>
        <v>1.1542036897883172</v>
      </c>
      <c r="I161" s="139"/>
      <c r="J161" s="139"/>
      <c r="K161" s="140"/>
      <c r="L161" s="47"/>
    </row>
    <row r="162" spans="1:12" ht="19.5" customHeight="1">
      <c r="A162" s="54" t="s">
        <v>14</v>
      </c>
      <c r="B162" s="33"/>
      <c r="C162" s="46">
        <v>10</v>
      </c>
      <c r="D162" s="134">
        <f t="shared" si="6"/>
        <v>150</v>
      </c>
      <c r="E162" s="135"/>
      <c r="F162" s="136">
        <f t="shared" si="7"/>
        <v>150</v>
      </c>
      <c r="G162" s="137"/>
      <c r="H162" s="138">
        <f>曲線Lever計算!$R17</f>
        <v>1.1002217126623761</v>
      </c>
      <c r="I162" s="139"/>
      <c r="J162" s="139"/>
      <c r="K162" s="140"/>
      <c r="L162" s="47"/>
    </row>
    <row r="163" spans="1:12" ht="19.5" customHeight="1" thickBot="1">
      <c r="A163" s="54" t="s">
        <v>14</v>
      </c>
      <c r="B163" s="33"/>
      <c r="C163" s="48" t="s">
        <v>53</v>
      </c>
      <c r="D163" s="141">
        <f t="shared" si="6"/>
        <v>150</v>
      </c>
      <c r="E163" s="142"/>
      <c r="F163" s="141">
        <f>F147</f>
        <v>150</v>
      </c>
      <c r="G163" s="143"/>
      <c r="H163" s="144">
        <f>IF(Lco瞬跳時間4=" ",0.025,Lco瞬跳時間4)</f>
        <v>0.05</v>
      </c>
      <c r="I163" s="145"/>
      <c r="J163" s="145"/>
      <c r="K163" s="146"/>
      <c r="L163" s="47"/>
    </row>
    <row r="164" spans="1:12" ht="19.5" customHeight="1">
      <c r="A164" s="3"/>
      <c r="B164" s="3"/>
      <c r="C164" s="3" t="s">
        <v>14</v>
      </c>
      <c r="D164" s="3"/>
      <c r="E164" s="3"/>
      <c r="F164" s="3"/>
      <c r="G164" s="3"/>
      <c r="H164" s="3"/>
      <c r="I164" s="3"/>
      <c r="J164" s="3"/>
      <c r="K164" s="3"/>
      <c r="L164" s="17"/>
    </row>
    <row r="165" spans="1:12" ht="19.5" customHeight="1" thickBot="1">
      <c r="A165" s="3"/>
      <c r="B165" s="3"/>
      <c r="C165" s="128" t="s">
        <v>37</v>
      </c>
      <c r="D165" s="128"/>
      <c r="E165" s="128"/>
      <c r="F165" s="3"/>
      <c r="G165" s="3"/>
      <c r="H165" s="3"/>
      <c r="I165" s="3"/>
      <c r="J165" s="3"/>
      <c r="K165" s="3"/>
      <c r="L165" s="17"/>
    </row>
    <row r="166" spans="1:12" ht="19.5" customHeight="1">
      <c r="A166" s="3"/>
      <c r="B166" s="3"/>
      <c r="C166" s="31" t="s">
        <v>38</v>
      </c>
      <c r="D166" s="129" t="str">
        <f>F148</f>
        <v>SEPAM G40</v>
      </c>
      <c r="E166" s="183"/>
      <c r="F166" s="184" t="s">
        <v>39</v>
      </c>
      <c r="G166" s="132"/>
      <c r="H166" s="119" t="s">
        <v>70</v>
      </c>
      <c r="I166" s="124" t="s">
        <v>41</v>
      </c>
      <c r="J166" s="124"/>
      <c r="K166" s="124"/>
      <c r="L166" s="14"/>
    </row>
    <row r="167" spans="1:12" ht="19.5" customHeight="1">
      <c r="A167" s="3"/>
      <c r="B167" s="3"/>
      <c r="C167" s="31" t="s">
        <v>71</v>
      </c>
      <c r="D167" s="117" t="str">
        <f>CONCATENATE(一次側4,"A")</f>
        <v>150A</v>
      </c>
      <c r="E167" s="118"/>
      <c r="F167" s="110" t="s">
        <v>43</v>
      </c>
      <c r="G167" s="111"/>
      <c r="H167" s="119"/>
      <c r="I167" s="127" t="s">
        <v>44</v>
      </c>
      <c r="J167" s="127"/>
      <c r="K167" s="127"/>
      <c r="L167" s="14"/>
    </row>
    <row r="168" spans="1:12" ht="19.5" customHeight="1">
      <c r="A168" s="3"/>
      <c r="B168" s="3"/>
      <c r="C168" s="31" t="s">
        <v>72</v>
      </c>
      <c r="D168" s="117" t="str">
        <f>IF(AND(0.1&lt;=Is0four/一次側4,Is0four/一次側4&lt;=1),H150,"ERROR!")</f>
        <v>15A</v>
      </c>
      <c r="E168" s="118"/>
      <c r="F168" s="110" t="s">
        <v>73</v>
      </c>
      <c r="G168" s="111"/>
      <c r="H168" s="70" t="s">
        <v>134</v>
      </c>
      <c r="I168" s="133" t="s">
        <v>135</v>
      </c>
      <c r="J168" s="133"/>
      <c r="K168" s="133"/>
      <c r="L168" s="14"/>
    </row>
    <row r="169" spans="1:12" ht="19.5" customHeight="1">
      <c r="A169" s="3"/>
      <c r="B169" s="3"/>
      <c r="C169" s="31" t="s">
        <v>74</v>
      </c>
      <c r="D169" s="108">
        <f>Lever4</f>
        <v>0.1</v>
      </c>
      <c r="E169" s="109"/>
      <c r="F169" s="110" t="s">
        <v>50</v>
      </c>
      <c r="G169" s="111"/>
      <c r="H169" s="36" t="s">
        <v>75</v>
      </c>
      <c r="I169" s="112" t="s">
        <v>76</v>
      </c>
      <c r="J169" s="112"/>
      <c r="K169" s="112"/>
      <c r="L169" s="14"/>
    </row>
    <row r="170" spans="1:12" ht="19.5" customHeight="1">
      <c r="A170" s="3"/>
      <c r="B170" s="3"/>
      <c r="C170" s="31" t="s">
        <v>77</v>
      </c>
      <c r="D170" s="117" t="str">
        <f>IF(AND(0.1&lt;=F147/一次側4,F147/一次側4&lt;=15),H151,"ERROR!")</f>
        <v>150A</v>
      </c>
      <c r="E170" s="118"/>
      <c r="F170" s="110" t="s">
        <v>78</v>
      </c>
      <c r="G170" s="111"/>
      <c r="H170" s="119" t="s">
        <v>79</v>
      </c>
      <c r="I170" s="29" t="s">
        <v>80</v>
      </c>
      <c r="J170" s="112" t="s">
        <v>14</v>
      </c>
      <c r="K170" s="8"/>
      <c r="L170" s="14"/>
    </row>
    <row r="171" spans="1:12" ht="19.5" customHeight="1">
      <c r="A171" s="3"/>
      <c r="B171" s="3"/>
      <c r="C171" s="31" t="s">
        <v>81</v>
      </c>
      <c r="D171" s="181">
        <v>0.05</v>
      </c>
      <c r="E171" s="182"/>
      <c r="F171" s="122" t="s">
        <v>131</v>
      </c>
      <c r="G171" s="123"/>
      <c r="H171" s="119"/>
      <c r="I171" s="8" t="s">
        <v>101</v>
      </c>
      <c r="J171" s="112"/>
      <c r="K171" s="8"/>
      <c r="L171" s="14"/>
    </row>
    <row r="172" spans="1:12" ht="19.5" customHeight="1" thickBot="1">
      <c r="A172" s="3"/>
      <c r="B172" s="3"/>
      <c r="C172" s="37" t="s">
        <v>58</v>
      </c>
      <c r="D172" s="113" t="str">
        <f>K150</f>
        <v>SIT</v>
      </c>
      <c r="E172" s="114"/>
      <c r="F172" s="115"/>
      <c r="G172" s="116"/>
      <c r="H172" s="3"/>
      <c r="I172" s="8"/>
      <c r="J172" s="8"/>
      <c r="K172" s="8"/>
      <c r="L172" s="14"/>
    </row>
    <row r="173" spans="1:12" ht="19.5" customHeight="1"/>
    <row r="174" spans="1:12" ht="19.5" customHeight="1"/>
    <row r="175" spans="1:12" ht="19.5" customHeight="1"/>
    <row r="176" spans="1:12" ht="19.5" customHeight="1"/>
    <row r="177" spans="1:12" ht="19.5" customHeight="1">
      <c r="A177" s="1" t="s">
        <v>110</v>
      </c>
      <c r="B177" s="1"/>
      <c r="C177" s="2"/>
      <c r="D177" s="2"/>
      <c r="E177" s="2"/>
      <c r="F177" s="2"/>
      <c r="G177" s="2"/>
      <c r="H177" s="2"/>
      <c r="I177" s="2"/>
      <c r="J177" s="2"/>
      <c r="K177" s="2"/>
      <c r="L177" s="38"/>
    </row>
    <row r="178" spans="1:12" ht="19.5" customHeight="1" thickBot="1">
      <c r="A178" s="3"/>
      <c r="B178" s="3"/>
      <c r="C178" s="4" t="s">
        <v>60</v>
      </c>
      <c r="D178" s="4"/>
      <c r="E178" s="4"/>
      <c r="F178" s="4"/>
      <c r="G178" s="3"/>
      <c r="H178" s="3"/>
      <c r="I178" s="3"/>
      <c r="J178" s="3"/>
      <c r="K178" s="3"/>
      <c r="L178" s="17"/>
    </row>
    <row r="179" spans="1:12" ht="19.5" customHeight="1">
      <c r="A179" s="3"/>
      <c r="B179" s="3"/>
      <c r="C179" s="5" t="s">
        <v>5</v>
      </c>
      <c r="D179" s="6"/>
      <c r="E179" s="176" t="str">
        <f>CONCATENATE("Lco-",coname5)</f>
        <v>Lco-20Kv母联</v>
      </c>
      <c r="F179" s="176"/>
      <c r="G179" s="176"/>
      <c r="H179" s="6"/>
      <c r="I179" s="6"/>
      <c r="J179" s="6"/>
      <c r="K179" s="7"/>
      <c r="L179" s="3"/>
    </row>
    <row r="180" spans="1:12" ht="19.5" customHeight="1">
      <c r="A180" s="3"/>
      <c r="B180" s="3"/>
      <c r="C180" s="177" t="s">
        <v>6</v>
      </c>
      <c r="D180" s="178"/>
      <c r="E180" s="178"/>
      <c r="F180" s="8">
        <f>CO表單!F180</f>
        <v>4500</v>
      </c>
      <c r="G180" s="9" t="s">
        <v>7</v>
      </c>
      <c r="H180" s="179"/>
      <c r="I180" s="178"/>
      <c r="J180" s="178"/>
      <c r="K180" s="180"/>
      <c r="L180" s="10"/>
    </row>
    <row r="181" spans="1:12" ht="19.5" customHeight="1">
      <c r="A181" s="3"/>
      <c r="B181" s="3"/>
      <c r="C181" s="163" t="s">
        <v>8</v>
      </c>
      <c r="D181" s="164"/>
      <c r="E181" s="164"/>
      <c r="F181" s="8">
        <f>CO表單!F181</f>
        <v>11.4</v>
      </c>
      <c r="G181" s="9" t="s">
        <v>9</v>
      </c>
      <c r="H181" s="165"/>
      <c r="I181" s="166"/>
      <c r="J181" s="166"/>
      <c r="K181" s="167"/>
      <c r="L181" s="10"/>
    </row>
    <row r="182" spans="1:12" ht="19.5" customHeight="1">
      <c r="A182" s="3"/>
      <c r="B182" s="3"/>
      <c r="C182" s="163" t="s">
        <v>10</v>
      </c>
      <c r="D182" s="164"/>
      <c r="E182" s="164"/>
      <c r="F182" s="8">
        <f>CO表單!F182</f>
        <v>11.4</v>
      </c>
      <c r="G182" s="9" t="s">
        <v>9</v>
      </c>
      <c r="H182" s="165"/>
      <c r="I182" s="166"/>
      <c r="J182" s="166"/>
      <c r="K182" s="167"/>
      <c r="L182" s="10"/>
    </row>
    <row r="183" spans="1:12" ht="19.5" customHeight="1">
      <c r="A183" s="3"/>
      <c r="B183" s="3"/>
      <c r="C183" s="163" t="s">
        <v>11</v>
      </c>
      <c r="D183" s="164"/>
      <c r="E183" s="164"/>
      <c r="F183" s="8">
        <f>CO表單!F183</f>
        <v>100</v>
      </c>
      <c r="G183" s="9" t="s">
        <v>12</v>
      </c>
      <c r="H183" s="165"/>
      <c r="I183" s="166"/>
      <c r="J183" s="166"/>
      <c r="K183" s="167"/>
      <c r="L183" s="10"/>
    </row>
    <row r="184" spans="1:12" ht="19.5" customHeight="1">
      <c r="A184" s="16"/>
      <c r="B184" s="16"/>
      <c r="C184" s="163" t="s">
        <v>13</v>
      </c>
      <c r="D184" s="164"/>
      <c r="E184" s="164"/>
      <c r="F184" s="8" t="str">
        <f>CO表單!F184</f>
        <v>150/5</v>
      </c>
      <c r="G184" s="9" t="s">
        <v>14</v>
      </c>
      <c r="H184" s="165" t="str">
        <f>CO表單!H184</f>
        <v>= 150 / 5 = 30</v>
      </c>
      <c r="I184" s="166"/>
      <c r="J184" s="166"/>
      <c r="K184" s="167"/>
      <c r="L184" s="10"/>
    </row>
    <row r="185" spans="1:12" ht="19.5" customHeight="1">
      <c r="A185" s="3"/>
      <c r="B185" s="3"/>
      <c r="C185" s="163" t="s">
        <v>61</v>
      </c>
      <c r="D185" s="164"/>
      <c r="E185" s="164"/>
      <c r="F185" s="22"/>
      <c r="G185" s="9"/>
      <c r="H185" s="190"/>
      <c r="I185" s="191"/>
      <c r="J185" s="191"/>
      <c r="K185" s="192"/>
      <c r="L185" s="13"/>
    </row>
    <row r="186" spans="1:12" ht="19.5" customHeight="1">
      <c r="A186" s="3"/>
      <c r="B186" s="3"/>
      <c r="C186" s="163" t="s">
        <v>62</v>
      </c>
      <c r="D186" s="164"/>
      <c r="E186" s="164"/>
      <c r="F186" s="8" t="str">
        <f>IF(_Ts05=" ",CONCATENATE(0.1,"In"),CONCATENATE(_Ts05,"In"))</f>
        <v>0.1In</v>
      </c>
      <c r="G186" s="10" t="str">
        <f>IF(_Ts05=" ",CONCATENATE("=",0.1*二次側5,"A"),CONCATENATE("=",_Ts05*二次側5,"A"))</f>
        <v>=0.5A</v>
      </c>
      <c r="H186" s="165" t="str">
        <f>CONCATENATE("一般固定選用0.1In;手動設定為",_Ts05,"In")</f>
        <v>一般固定選用0.1In;手動設定為0.1In</v>
      </c>
      <c r="I186" s="166"/>
      <c r="J186" s="166"/>
      <c r="K186" s="167"/>
      <c r="L186" s="10"/>
    </row>
    <row r="187" spans="1:12" ht="19.5" customHeight="1">
      <c r="A187" s="3"/>
      <c r="B187" s="3"/>
      <c r="C187" s="163" t="s">
        <v>63</v>
      </c>
      <c r="D187" s="164"/>
      <c r="E187" s="164"/>
      <c r="F187" s="8">
        <f>Is0five</f>
        <v>15</v>
      </c>
      <c r="G187" s="9" t="s">
        <v>18</v>
      </c>
      <c r="H187" s="165"/>
      <c r="I187" s="166"/>
      <c r="J187" s="166"/>
      <c r="K187" s="167"/>
      <c r="L187" s="10"/>
    </row>
    <row r="188" spans="1:12" ht="19.5" customHeight="1">
      <c r="A188" s="3"/>
      <c r="B188" s="3"/>
      <c r="C188" s="163" t="s">
        <v>64</v>
      </c>
      <c r="D188" s="164"/>
      <c r="E188" s="164"/>
      <c r="F188" s="8">
        <f>Lever5</f>
        <v>0.1</v>
      </c>
      <c r="G188" s="9" t="s">
        <v>14</v>
      </c>
      <c r="H188" s="165"/>
      <c r="I188" s="166"/>
      <c r="J188" s="166"/>
      <c r="K188" s="167"/>
      <c r="L188" s="10"/>
    </row>
    <row r="189" spans="1:12" ht="19.5" customHeight="1">
      <c r="A189" s="3"/>
      <c r="B189" s="3"/>
      <c r="C189" s="163" t="s">
        <v>65</v>
      </c>
      <c r="D189" s="164"/>
      <c r="E189" s="164"/>
      <c r="F189" s="8" t="str">
        <f>CONCATENATE(_IIT05,"In")</f>
        <v>1In</v>
      </c>
      <c r="G189" s="9" t="str">
        <f>CONCATENATE("=",_IIT05*二次側5,"A")</f>
        <v>=5A</v>
      </c>
      <c r="H189" s="165" t="str">
        <f>CONCATENATE("一般固定選用1In;手動設定為",_IIT05,"In")</f>
        <v>一般固定選用1In;手動設定為1In</v>
      </c>
      <c r="I189" s="166"/>
      <c r="J189" s="166"/>
      <c r="K189" s="167"/>
      <c r="L189" s="10"/>
    </row>
    <row r="190" spans="1:12" ht="19.5" customHeight="1">
      <c r="A190" s="3"/>
      <c r="B190" s="3"/>
      <c r="C190" s="171" t="s">
        <v>132</v>
      </c>
      <c r="D190" s="172"/>
      <c r="E190" s="172"/>
      <c r="F190" s="68">
        <f>1.2*Is0five</f>
        <v>18</v>
      </c>
      <c r="G190" s="69" t="s">
        <v>18</v>
      </c>
      <c r="H190" s="168" t="s">
        <v>133</v>
      </c>
      <c r="I190" s="169"/>
      <c r="J190" s="169"/>
      <c r="K190" s="170"/>
      <c r="L190" s="39"/>
    </row>
    <row r="191" spans="1:12" ht="19.5" customHeight="1">
      <c r="A191" s="3"/>
      <c r="B191" s="3"/>
      <c r="C191" s="158" t="s">
        <v>66</v>
      </c>
      <c r="D191" s="159"/>
      <c r="E191" s="159"/>
      <c r="F191" s="29">
        <f>Lco瞬跳電流5</f>
        <v>150</v>
      </c>
      <c r="G191" s="40" t="s">
        <v>18</v>
      </c>
      <c r="H191" s="185" t="s">
        <v>100</v>
      </c>
      <c r="I191" s="159"/>
      <c r="J191" s="159"/>
      <c r="K191" s="186"/>
      <c r="L191" s="39"/>
    </row>
    <row r="192" spans="1:12" ht="19.5" customHeight="1">
      <c r="A192" s="3"/>
      <c r="B192" s="3"/>
      <c r="C192" s="147" t="s">
        <v>23</v>
      </c>
      <c r="D192" s="148"/>
      <c r="E192" s="148"/>
      <c r="F192" s="149" t="str">
        <f>CO表單!F192</f>
        <v>SEPAM T87</v>
      </c>
      <c r="G192" s="149"/>
      <c r="H192" s="149"/>
      <c r="I192" s="149"/>
      <c r="J192" s="149"/>
      <c r="K192" s="187"/>
      <c r="L192" s="39"/>
    </row>
    <row r="193" spans="1:12" ht="19.5" customHeight="1">
      <c r="A193" s="3"/>
      <c r="B193" s="3"/>
      <c r="C193" s="41" t="s">
        <v>24</v>
      </c>
      <c r="D193" s="3"/>
      <c r="E193" s="8" t="str">
        <f>CO表單!E193</f>
        <v>150/5</v>
      </c>
      <c r="F193" s="3" t="s">
        <v>25</v>
      </c>
      <c r="G193" s="3"/>
      <c r="H193" s="8" t="str">
        <f>CONCATENATE(一次側5,"A")</f>
        <v>150A</v>
      </c>
      <c r="I193" s="3" t="s">
        <v>67</v>
      </c>
      <c r="J193" s="66"/>
      <c r="K193" s="67">
        <f>IF(t0five=" ",Lever5,t0five)</f>
        <v>1.3</v>
      </c>
      <c r="L193" s="42"/>
    </row>
    <row r="194" spans="1:12" ht="19.5" customHeight="1">
      <c r="A194" s="3"/>
      <c r="B194" s="3"/>
      <c r="C194" s="41" t="s">
        <v>68</v>
      </c>
      <c r="D194" s="3"/>
      <c r="E194" s="8">
        <f>_Ts05</f>
        <v>0.1</v>
      </c>
      <c r="F194" s="3" t="s">
        <v>42</v>
      </c>
      <c r="G194" s="8" t="s">
        <v>82</v>
      </c>
      <c r="H194" s="8" t="str">
        <f>CONCATENATE(Is0five,"A")</f>
        <v>15A</v>
      </c>
      <c r="I194" s="3" t="s">
        <v>29</v>
      </c>
      <c r="J194" s="3"/>
      <c r="K194" s="33" t="str">
        <f>协调曲线图!W37</f>
        <v>SIT</v>
      </c>
      <c r="L194" s="14"/>
    </row>
    <row r="195" spans="1:12" ht="19.5" customHeight="1">
      <c r="A195" s="3"/>
      <c r="B195" s="3"/>
      <c r="C195" s="43" t="s">
        <v>102</v>
      </c>
      <c r="D195" s="44"/>
      <c r="E195" s="29">
        <f>_IIT05</f>
        <v>1</v>
      </c>
      <c r="F195" s="44" t="s">
        <v>42</v>
      </c>
      <c r="G195" s="8" t="s">
        <v>83</v>
      </c>
      <c r="H195" s="8" t="str">
        <f>CONCATENATE(F191,"A")</f>
        <v>150A</v>
      </c>
      <c r="I195" s="44"/>
      <c r="J195" s="44"/>
      <c r="K195" s="45"/>
      <c r="L195" s="17"/>
    </row>
    <row r="196" spans="1:12" ht="19.5" customHeight="1">
      <c r="A196" s="3"/>
      <c r="B196" s="3"/>
      <c r="C196" s="188" t="s">
        <v>31</v>
      </c>
      <c r="D196" s="117" t="s">
        <v>32</v>
      </c>
      <c r="E196" s="153"/>
      <c r="F196" s="153"/>
      <c r="G196" s="118"/>
      <c r="H196" s="154" t="s">
        <v>33</v>
      </c>
      <c r="I196" s="127"/>
      <c r="J196" s="127"/>
      <c r="K196" s="155"/>
      <c r="L196" s="14"/>
    </row>
    <row r="197" spans="1:12" ht="19.5" customHeight="1">
      <c r="A197" s="3"/>
      <c r="B197" s="3"/>
      <c r="C197" s="189"/>
      <c r="D197" s="117" t="s">
        <v>34</v>
      </c>
      <c r="E197" s="118"/>
      <c r="F197" s="110" t="s">
        <v>35</v>
      </c>
      <c r="G197" s="118"/>
      <c r="H197" s="156"/>
      <c r="I197" s="124"/>
      <c r="J197" s="124"/>
      <c r="K197" s="157"/>
      <c r="L197" s="14"/>
    </row>
    <row r="198" spans="1:12" ht="19.5" customHeight="1">
      <c r="A198" s="54" t="s">
        <v>14</v>
      </c>
      <c r="B198" s="33"/>
      <c r="C198" s="46">
        <v>2</v>
      </c>
      <c r="D198" s="134">
        <f t="shared" ref="D198:D207" si="8">F198/(covb5/covt5)</f>
        <v>30</v>
      </c>
      <c r="E198" s="135"/>
      <c r="F198" s="136">
        <f t="shared" ref="F198:F206" si="9">Is0five*$C198</f>
        <v>30</v>
      </c>
      <c r="G198" s="137"/>
      <c r="H198" s="138">
        <f>曲線Lever計算!$W9</f>
        <v>4.3898098067545233</v>
      </c>
      <c r="I198" s="139"/>
      <c r="J198" s="139"/>
      <c r="K198" s="140"/>
      <c r="L198" s="47"/>
    </row>
    <row r="199" spans="1:12" ht="19.5" customHeight="1">
      <c r="A199" s="54" t="s">
        <v>14</v>
      </c>
      <c r="B199" s="33"/>
      <c r="C199" s="46">
        <v>3</v>
      </c>
      <c r="D199" s="134">
        <f t="shared" si="8"/>
        <v>45</v>
      </c>
      <c r="E199" s="135"/>
      <c r="F199" s="136">
        <f t="shared" si="9"/>
        <v>45</v>
      </c>
      <c r="G199" s="137"/>
      <c r="H199" s="138">
        <f>曲線Lever計算!$W10</f>
        <v>2.758420944562419</v>
      </c>
      <c r="I199" s="139"/>
      <c r="J199" s="139"/>
      <c r="K199" s="140"/>
      <c r="L199" s="47"/>
    </row>
    <row r="200" spans="1:12" ht="19.5" customHeight="1">
      <c r="A200" s="54" t="s">
        <v>14</v>
      </c>
      <c r="B200" s="33"/>
      <c r="C200" s="46">
        <v>4</v>
      </c>
      <c r="D200" s="134">
        <f t="shared" si="8"/>
        <v>60</v>
      </c>
      <c r="E200" s="135"/>
      <c r="F200" s="136">
        <f t="shared" si="9"/>
        <v>60</v>
      </c>
      <c r="G200" s="137"/>
      <c r="H200" s="138">
        <f>曲線Lever計算!$W11</f>
        <v>2.1796912255713186</v>
      </c>
      <c r="I200" s="139"/>
      <c r="J200" s="139"/>
      <c r="K200" s="140"/>
      <c r="L200" s="47"/>
    </row>
    <row r="201" spans="1:12" ht="19.5" customHeight="1">
      <c r="A201" s="54" t="s">
        <v>14</v>
      </c>
      <c r="B201" s="33"/>
      <c r="C201" s="46">
        <v>5</v>
      </c>
      <c r="D201" s="134">
        <f t="shared" si="8"/>
        <v>75</v>
      </c>
      <c r="E201" s="135"/>
      <c r="F201" s="136">
        <f t="shared" si="9"/>
        <v>75</v>
      </c>
      <c r="G201" s="137"/>
      <c r="H201" s="138">
        <f>曲線Lever計算!$W12</f>
        <v>1.8732781455316454</v>
      </c>
      <c r="I201" s="139"/>
      <c r="J201" s="139"/>
      <c r="K201" s="140"/>
      <c r="L201" s="47"/>
    </row>
    <row r="202" spans="1:12" ht="19.5" customHeight="1">
      <c r="A202" s="54" t="s">
        <v>14</v>
      </c>
      <c r="B202" s="33"/>
      <c r="C202" s="46">
        <v>6</v>
      </c>
      <c r="D202" s="134">
        <f t="shared" si="8"/>
        <v>90</v>
      </c>
      <c r="E202" s="135"/>
      <c r="F202" s="136">
        <f t="shared" si="9"/>
        <v>90</v>
      </c>
      <c r="G202" s="137"/>
      <c r="H202" s="138">
        <f>曲線Lever計算!$W13</f>
        <v>1.6795791886722762</v>
      </c>
      <c r="I202" s="139"/>
      <c r="J202" s="139"/>
      <c r="K202" s="140"/>
      <c r="L202" s="47"/>
    </row>
    <row r="203" spans="1:12" ht="19.5" customHeight="1">
      <c r="A203" s="54" t="s">
        <v>14</v>
      </c>
      <c r="B203" s="33"/>
      <c r="C203" s="46">
        <v>7</v>
      </c>
      <c r="D203" s="134">
        <f t="shared" si="8"/>
        <v>105</v>
      </c>
      <c r="E203" s="135"/>
      <c r="F203" s="136">
        <f t="shared" si="9"/>
        <v>105</v>
      </c>
      <c r="G203" s="137"/>
      <c r="H203" s="138">
        <f>曲線Lever計算!$W14</f>
        <v>1.5441296835275333</v>
      </c>
      <c r="I203" s="139"/>
      <c r="J203" s="139"/>
      <c r="K203" s="140"/>
      <c r="L203" s="47"/>
    </row>
    <row r="204" spans="1:12" ht="19.5" customHeight="1">
      <c r="A204" s="54" t="s">
        <v>14</v>
      </c>
      <c r="B204" s="33"/>
      <c r="C204" s="46">
        <v>8</v>
      </c>
      <c r="D204" s="134">
        <f t="shared" si="8"/>
        <v>120</v>
      </c>
      <c r="E204" s="135"/>
      <c r="F204" s="136">
        <f t="shared" si="9"/>
        <v>120</v>
      </c>
      <c r="G204" s="137"/>
      <c r="H204" s="138">
        <f>曲線Lever計算!$W15</f>
        <v>1.4430322232710773</v>
      </c>
      <c r="I204" s="139"/>
      <c r="J204" s="139"/>
      <c r="K204" s="140"/>
      <c r="L204" s="47"/>
    </row>
    <row r="205" spans="1:12" ht="19.5" customHeight="1">
      <c r="A205" s="54" t="s">
        <v>14</v>
      </c>
      <c r="B205" s="33"/>
      <c r="C205" s="46">
        <v>9</v>
      </c>
      <c r="D205" s="134">
        <f t="shared" si="8"/>
        <v>135</v>
      </c>
      <c r="E205" s="135"/>
      <c r="F205" s="136">
        <f t="shared" si="9"/>
        <v>135</v>
      </c>
      <c r="G205" s="137"/>
      <c r="H205" s="138">
        <f>曲線Lever計算!$W16</f>
        <v>1.3640589061134658</v>
      </c>
      <c r="I205" s="139"/>
      <c r="J205" s="139"/>
      <c r="K205" s="140"/>
      <c r="L205" s="47"/>
    </row>
    <row r="206" spans="1:12" ht="19.5" customHeight="1">
      <c r="A206" s="54" t="s">
        <v>14</v>
      </c>
      <c r="B206" s="33"/>
      <c r="C206" s="46">
        <v>10</v>
      </c>
      <c r="D206" s="134">
        <f t="shared" si="8"/>
        <v>150</v>
      </c>
      <c r="E206" s="135"/>
      <c r="F206" s="136">
        <f t="shared" si="9"/>
        <v>150</v>
      </c>
      <c r="G206" s="137"/>
      <c r="H206" s="138">
        <f>曲線Lever計算!$W17</f>
        <v>1.3002620240555354</v>
      </c>
      <c r="I206" s="139"/>
      <c r="J206" s="139"/>
      <c r="K206" s="140"/>
      <c r="L206" s="47"/>
    </row>
    <row r="207" spans="1:12" ht="19.5" customHeight="1" thickBot="1">
      <c r="A207" s="54" t="s">
        <v>14</v>
      </c>
      <c r="B207" s="33"/>
      <c r="C207" s="48" t="s">
        <v>53</v>
      </c>
      <c r="D207" s="141">
        <f t="shared" si="8"/>
        <v>150</v>
      </c>
      <c r="E207" s="142"/>
      <c r="F207" s="141">
        <f>F191</f>
        <v>150</v>
      </c>
      <c r="G207" s="143"/>
      <c r="H207" s="144">
        <f>IF(Lco瞬跳時間5=" ",0.025,Lco瞬跳時間5)</f>
        <v>0.05</v>
      </c>
      <c r="I207" s="145"/>
      <c r="J207" s="145"/>
      <c r="K207" s="146"/>
      <c r="L207" s="47"/>
    </row>
    <row r="208" spans="1:12" ht="19.5" customHeight="1">
      <c r="A208" s="3"/>
      <c r="B208" s="3"/>
      <c r="C208" s="3" t="s">
        <v>14</v>
      </c>
      <c r="D208" s="3"/>
      <c r="E208" s="3"/>
      <c r="F208" s="3"/>
      <c r="G208" s="3"/>
      <c r="H208" s="3"/>
      <c r="I208" s="3"/>
      <c r="J208" s="3"/>
      <c r="K208" s="3"/>
      <c r="L208" s="17"/>
    </row>
    <row r="209" spans="1:12" ht="19.5" customHeight="1" thickBot="1">
      <c r="A209" s="3"/>
      <c r="B209" s="3"/>
      <c r="C209" s="128" t="s">
        <v>37</v>
      </c>
      <c r="D209" s="128"/>
      <c r="E209" s="128"/>
      <c r="F209" s="3"/>
      <c r="G209" s="3"/>
      <c r="H209" s="3"/>
      <c r="I209" s="3"/>
      <c r="J209" s="3"/>
      <c r="K209" s="3"/>
      <c r="L209" s="17"/>
    </row>
    <row r="210" spans="1:12" ht="19.5" customHeight="1">
      <c r="A210" s="3"/>
      <c r="B210" s="3"/>
      <c r="C210" s="31" t="s">
        <v>38</v>
      </c>
      <c r="D210" s="129" t="str">
        <f>F192</f>
        <v>SEPAM T87</v>
      </c>
      <c r="E210" s="183"/>
      <c r="F210" s="184" t="s">
        <v>39</v>
      </c>
      <c r="G210" s="132"/>
      <c r="H210" s="119" t="s">
        <v>70</v>
      </c>
      <c r="I210" s="124" t="s">
        <v>41</v>
      </c>
      <c r="J210" s="124"/>
      <c r="K210" s="124"/>
      <c r="L210" s="14"/>
    </row>
    <row r="211" spans="1:12" ht="19.5" customHeight="1">
      <c r="A211" s="3"/>
      <c r="B211" s="3"/>
      <c r="C211" s="31" t="s">
        <v>71</v>
      </c>
      <c r="D211" s="117" t="str">
        <f>CONCATENATE(一次側5,"A")</f>
        <v>150A</v>
      </c>
      <c r="E211" s="118"/>
      <c r="F211" s="110" t="s">
        <v>43</v>
      </c>
      <c r="G211" s="111"/>
      <c r="H211" s="119"/>
      <c r="I211" s="127" t="s">
        <v>44</v>
      </c>
      <c r="J211" s="127"/>
      <c r="K211" s="127"/>
      <c r="L211" s="14"/>
    </row>
    <row r="212" spans="1:12" ht="19.5" customHeight="1">
      <c r="A212" s="3"/>
      <c r="B212" s="3"/>
      <c r="C212" s="31" t="s">
        <v>72</v>
      </c>
      <c r="D212" s="117" t="str">
        <f>IF(AND(0.1&lt;=Is0five/一次側5,Is0five/一次側5&lt;=1),H194,"ERROR!")</f>
        <v>15A</v>
      </c>
      <c r="E212" s="118"/>
      <c r="F212" s="110" t="s">
        <v>73</v>
      </c>
      <c r="G212" s="111"/>
      <c r="H212" s="70" t="s">
        <v>134</v>
      </c>
      <c r="I212" s="133" t="s">
        <v>135</v>
      </c>
      <c r="J212" s="133"/>
      <c r="K212" s="133"/>
      <c r="L212" s="14"/>
    </row>
    <row r="213" spans="1:12" ht="19.5" customHeight="1">
      <c r="A213" s="3"/>
      <c r="B213" s="3"/>
      <c r="C213" s="31" t="s">
        <v>74</v>
      </c>
      <c r="D213" s="108">
        <f>Lever5</f>
        <v>0.1</v>
      </c>
      <c r="E213" s="109"/>
      <c r="F213" s="110" t="s">
        <v>50</v>
      </c>
      <c r="G213" s="111"/>
      <c r="H213" s="36" t="s">
        <v>75</v>
      </c>
      <c r="I213" s="112" t="s">
        <v>76</v>
      </c>
      <c r="J213" s="112"/>
      <c r="K213" s="112"/>
      <c r="L213" s="14"/>
    </row>
    <row r="214" spans="1:12" ht="19.5" customHeight="1">
      <c r="A214" s="3"/>
      <c r="B214" s="3"/>
      <c r="C214" s="31" t="s">
        <v>77</v>
      </c>
      <c r="D214" s="117" t="str">
        <f>IF(AND(0.1&lt;=F191/一次側5,F191/一次側5&lt;=15),H195,"ERROR!")</f>
        <v>150A</v>
      </c>
      <c r="E214" s="118"/>
      <c r="F214" s="110" t="s">
        <v>78</v>
      </c>
      <c r="G214" s="111"/>
      <c r="H214" s="119" t="s">
        <v>79</v>
      </c>
      <c r="I214" s="29" t="s">
        <v>80</v>
      </c>
      <c r="J214" s="112" t="s">
        <v>14</v>
      </c>
      <c r="K214" s="8"/>
      <c r="L214" s="14"/>
    </row>
    <row r="215" spans="1:12" ht="19.5" customHeight="1">
      <c r="A215" s="3"/>
      <c r="B215" s="3"/>
      <c r="C215" s="31" t="s">
        <v>81</v>
      </c>
      <c r="D215" s="181">
        <v>0.05</v>
      </c>
      <c r="E215" s="182"/>
      <c r="F215" s="122" t="s">
        <v>131</v>
      </c>
      <c r="G215" s="123"/>
      <c r="H215" s="119"/>
      <c r="I215" s="8" t="s">
        <v>101</v>
      </c>
      <c r="J215" s="112"/>
      <c r="K215" s="8"/>
      <c r="L215" s="14"/>
    </row>
    <row r="216" spans="1:12" ht="19.5" customHeight="1" thickBot="1">
      <c r="A216" s="3"/>
      <c r="B216" s="3"/>
      <c r="C216" s="37" t="s">
        <v>58</v>
      </c>
      <c r="D216" s="113" t="str">
        <f>K194</f>
        <v>SIT</v>
      </c>
      <c r="E216" s="114"/>
      <c r="F216" s="115"/>
      <c r="G216" s="116"/>
      <c r="H216" s="3"/>
      <c r="I216" s="8"/>
      <c r="J216" s="8"/>
      <c r="K216" s="8"/>
      <c r="L216" s="14"/>
    </row>
    <row r="217" spans="1:12" ht="19.5" customHeight="1"/>
    <row r="218" spans="1:12" ht="19.5" customHeight="1"/>
    <row r="219" spans="1:12" ht="19.5" customHeight="1"/>
    <row r="220" spans="1:12" ht="19.5" customHeight="1"/>
    <row r="221" spans="1:12" ht="19.5" customHeight="1">
      <c r="A221" s="1" t="s">
        <v>109</v>
      </c>
      <c r="B221" s="1"/>
      <c r="C221" s="2"/>
      <c r="D221" s="2"/>
      <c r="E221" s="2"/>
      <c r="F221" s="2"/>
      <c r="G221" s="2"/>
      <c r="H221" s="2"/>
      <c r="I221" s="2"/>
      <c r="J221" s="2"/>
      <c r="K221" s="2"/>
      <c r="L221" s="38"/>
    </row>
    <row r="222" spans="1:12" ht="19.5" customHeight="1" thickBot="1">
      <c r="A222" s="3"/>
      <c r="B222" s="3"/>
      <c r="C222" s="4" t="s">
        <v>60</v>
      </c>
      <c r="D222" s="4"/>
      <c r="E222" s="4"/>
      <c r="F222" s="4"/>
      <c r="G222" s="3"/>
      <c r="H222" s="3"/>
      <c r="I222" s="3"/>
      <c r="J222" s="3"/>
      <c r="K222" s="3"/>
      <c r="L222" s="17"/>
    </row>
    <row r="223" spans="1:12" ht="19.5" customHeight="1">
      <c r="A223" s="3"/>
      <c r="B223" s="3"/>
      <c r="C223" s="5" t="s">
        <v>5</v>
      </c>
      <c r="D223" s="6"/>
      <c r="E223" s="176" t="str">
        <f>CONCATENATE("Lco-",coname6)</f>
        <v>Lco-20Kv进线</v>
      </c>
      <c r="F223" s="176"/>
      <c r="G223" s="176"/>
      <c r="H223" s="6"/>
      <c r="I223" s="6"/>
      <c r="J223" s="6"/>
      <c r="K223" s="7"/>
      <c r="L223" s="3"/>
    </row>
    <row r="224" spans="1:12" ht="19.5" customHeight="1">
      <c r="A224" s="3"/>
      <c r="B224" s="3"/>
      <c r="C224" s="177" t="s">
        <v>6</v>
      </c>
      <c r="D224" s="178"/>
      <c r="E224" s="178"/>
      <c r="F224" s="8">
        <f>CO表單!F224</f>
        <v>6000</v>
      </c>
      <c r="G224" s="9" t="s">
        <v>7</v>
      </c>
      <c r="H224" s="179"/>
      <c r="I224" s="178"/>
      <c r="J224" s="178"/>
      <c r="K224" s="180"/>
      <c r="L224" s="10"/>
    </row>
    <row r="225" spans="1:12" ht="19.5" customHeight="1">
      <c r="A225" s="3"/>
      <c r="B225" s="3"/>
      <c r="C225" s="163" t="s">
        <v>8</v>
      </c>
      <c r="D225" s="164"/>
      <c r="E225" s="164"/>
      <c r="F225" s="8">
        <f>CO表單!F225</f>
        <v>11.4</v>
      </c>
      <c r="G225" s="9" t="s">
        <v>9</v>
      </c>
      <c r="H225" s="165"/>
      <c r="I225" s="166"/>
      <c r="J225" s="166"/>
      <c r="K225" s="167"/>
      <c r="L225" s="10"/>
    </row>
    <row r="226" spans="1:12" ht="19.5" customHeight="1">
      <c r="A226" s="3"/>
      <c r="B226" s="3"/>
      <c r="C226" s="163" t="s">
        <v>10</v>
      </c>
      <c r="D226" s="164"/>
      <c r="E226" s="164"/>
      <c r="F226" s="8">
        <f>CO表單!F226</f>
        <v>11.4</v>
      </c>
      <c r="G226" s="9" t="s">
        <v>9</v>
      </c>
      <c r="H226" s="165"/>
      <c r="I226" s="166"/>
      <c r="J226" s="166"/>
      <c r="K226" s="167"/>
      <c r="L226" s="10"/>
    </row>
    <row r="227" spans="1:12" ht="19.5" customHeight="1">
      <c r="A227" s="3"/>
      <c r="B227" s="3"/>
      <c r="C227" s="163" t="s">
        <v>11</v>
      </c>
      <c r="D227" s="164"/>
      <c r="E227" s="164"/>
      <c r="F227" s="8">
        <f>CO表單!F227</f>
        <v>100</v>
      </c>
      <c r="G227" s="9" t="s">
        <v>12</v>
      </c>
      <c r="H227" s="165"/>
      <c r="I227" s="166"/>
      <c r="J227" s="166"/>
      <c r="K227" s="167"/>
      <c r="L227" s="10"/>
    </row>
    <row r="228" spans="1:12" ht="19.5" customHeight="1">
      <c r="A228" s="16"/>
      <c r="B228" s="16"/>
      <c r="C228" s="163" t="s">
        <v>13</v>
      </c>
      <c r="D228" s="164"/>
      <c r="E228" s="164"/>
      <c r="F228" s="8" t="str">
        <f>CO表單!F228</f>
        <v>150/5</v>
      </c>
      <c r="G228" s="9" t="s">
        <v>14</v>
      </c>
      <c r="H228" s="165" t="str">
        <f>CO表單!H228</f>
        <v>= 150 / 5 = 30</v>
      </c>
      <c r="I228" s="166"/>
      <c r="J228" s="166"/>
      <c r="K228" s="167"/>
      <c r="L228" s="10"/>
    </row>
    <row r="229" spans="1:12" ht="19.5" customHeight="1">
      <c r="A229" s="3"/>
      <c r="B229" s="3"/>
      <c r="C229" s="163" t="s">
        <v>61</v>
      </c>
      <c r="D229" s="164"/>
      <c r="E229" s="164"/>
      <c r="F229" s="22"/>
      <c r="G229" s="9"/>
      <c r="H229" s="190"/>
      <c r="I229" s="191"/>
      <c r="J229" s="191"/>
      <c r="K229" s="192"/>
      <c r="L229" s="13"/>
    </row>
    <row r="230" spans="1:12" ht="19.5" customHeight="1">
      <c r="A230" s="3"/>
      <c r="B230" s="3"/>
      <c r="C230" s="163" t="s">
        <v>62</v>
      </c>
      <c r="D230" s="164"/>
      <c r="E230" s="164"/>
      <c r="F230" s="8" t="str">
        <f>IF(_Ts06=" ",CONCATENATE(0.1,"In"),CONCATENATE(_Ts06,"In"))</f>
        <v>0.2In</v>
      </c>
      <c r="G230" s="10" t="str">
        <f>IF(_Ts06=" ",CONCATENATE("=",0.1*二次側6,"A"),CONCATENATE("=",_Ts06*二次側6,"A"))</f>
        <v>=1A</v>
      </c>
      <c r="H230" s="165" t="str">
        <f>CONCATENATE("一般固定選用0.1In;手動設定為",_Ts06,"In")</f>
        <v>一般固定選用0.1In;手動設定為0.2In</v>
      </c>
      <c r="I230" s="166"/>
      <c r="J230" s="166"/>
      <c r="K230" s="167"/>
      <c r="L230" s="10"/>
    </row>
    <row r="231" spans="1:12" ht="19.5" customHeight="1">
      <c r="A231" s="3"/>
      <c r="B231" s="3"/>
      <c r="C231" s="163" t="s">
        <v>63</v>
      </c>
      <c r="D231" s="164"/>
      <c r="E231" s="164"/>
      <c r="F231" s="8">
        <f>Is0six</f>
        <v>30</v>
      </c>
      <c r="G231" s="9" t="s">
        <v>18</v>
      </c>
      <c r="H231" s="165"/>
      <c r="I231" s="166"/>
      <c r="J231" s="166"/>
      <c r="K231" s="167"/>
      <c r="L231" s="10"/>
    </row>
    <row r="232" spans="1:12" ht="19.5" customHeight="1">
      <c r="A232" s="3"/>
      <c r="B232" s="3"/>
      <c r="C232" s="163" t="s">
        <v>64</v>
      </c>
      <c r="D232" s="164"/>
      <c r="E232" s="164"/>
      <c r="F232" s="8">
        <f>Lever6</f>
        <v>0.1</v>
      </c>
      <c r="G232" s="9" t="s">
        <v>14</v>
      </c>
      <c r="H232" s="165"/>
      <c r="I232" s="166"/>
      <c r="J232" s="166"/>
      <c r="K232" s="167"/>
      <c r="L232" s="10"/>
    </row>
    <row r="233" spans="1:12" ht="19.5" customHeight="1">
      <c r="A233" s="3"/>
      <c r="B233" s="3"/>
      <c r="C233" s="163" t="s">
        <v>65</v>
      </c>
      <c r="D233" s="164"/>
      <c r="E233" s="164"/>
      <c r="F233" s="8" t="str">
        <f>CONCATENATE(_IIT06,"In")</f>
        <v>2In</v>
      </c>
      <c r="G233" s="9" t="str">
        <f>CONCATENATE("=",_IIT06*二次側6,"A")</f>
        <v>=10A</v>
      </c>
      <c r="H233" s="165" t="str">
        <f>CONCATENATE("一般固定選用1In;手動設定為",_IIT06,"In")</f>
        <v>一般固定選用1In;手動設定為2In</v>
      </c>
      <c r="I233" s="166"/>
      <c r="J233" s="166"/>
      <c r="K233" s="167"/>
      <c r="L233" s="10"/>
    </row>
    <row r="234" spans="1:12" ht="19.5" customHeight="1">
      <c r="A234" s="3"/>
      <c r="B234" s="3"/>
      <c r="C234" s="171" t="s">
        <v>132</v>
      </c>
      <c r="D234" s="172"/>
      <c r="E234" s="172"/>
      <c r="F234" s="68">
        <f>1.2*Is0six</f>
        <v>36</v>
      </c>
      <c r="G234" s="69" t="s">
        <v>18</v>
      </c>
      <c r="H234" s="168" t="s">
        <v>133</v>
      </c>
      <c r="I234" s="169"/>
      <c r="J234" s="169"/>
      <c r="K234" s="170"/>
      <c r="L234" s="39"/>
    </row>
    <row r="235" spans="1:12" ht="19.5" customHeight="1">
      <c r="A235" s="3"/>
      <c r="B235" s="3"/>
      <c r="C235" s="158" t="s">
        <v>66</v>
      </c>
      <c r="D235" s="159"/>
      <c r="E235" s="159"/>
      <c r="F235" s="29">
        <f>Lco瞬跳電流6</f>
        <v>300</v>
      </c>
      <c r="G235" s="40" t="s">
        <v>18</v>
      </c>
      <c r="H235" s="185" t="s">
        <v>100</v>
      </c>
      <c r="I235" s="159"/>
      <c r="J235" s="159"/>
      <c r="K235" s="186"/>
      <c r="L235" s="39"/>
    </row>
    <row r="236" spans="1:12" ht="19.5" customHeight="1">
      <c r="A236" s="3"/>
      <c r="B236" s="3"/>
      <c r="C236" s="147" t="s">
        <v>23</v>
      </c>
      <c r="D236" s="148"/>
      <c r="E236" s="148"/>
      <c r="F236" s="149" t="str">
        <f>CO表單!F236</f>
        <v>SEPAM M87</v>
      </c>
      <c r="G236" s="149"/>
      <c r="H236" s="149"/>
      <c r="I236" s="149"/>
      <c r="J236" s="149"/>
      <c r="K236" s="187"/>
      <c r="L236" s="39"/>
    </row>
    <row r="237" spans="1:12" ht="19.5" customHeight="1">
      <c r="A237" s="3"/>
      <c r="B237" s="3"/>
      <c r="C237" s="41" t="s">
        <v>24</v>
      </c>
      <c r="D237" s="3"/>
      <c r="E237" s="8" t="str">
        <f>CO表單!E237</f>
        <v>150/5</v>
      </c>
      <c r="F237" s="3" t="s">
        <v>25</v>
      </c>
      <c r="G237" s="3"/>
      <c r="H237" s="8" t="str">
        <f>CONCATENATE(一次側6,"A")</f>
        <v>150A</v>
      </c>
      <c r="I237" s="3" t="s">
        <v>67</v>
      </c>
      <c r="J237" s="66"/>
      <c r="K237" s="67">
        <f>IF(t0six=" ",Lever6,t0six)</f>
        <v>1.6</v>
      </c>
      <c r="L237" s="42"/>
    </row>
    <row r="238" spans="1:12" ht="19.5" customHeight="1">
      <c r="A238" s="3"/>
      <c r="B238" s="3"/>
      <c r="C238" s="41" t="s">
        <v>68</v>
      </c>
      <c r="D238" s="3"/>
      <c r="E238" s="8">
        <f>_Ts06</f>
        <v>0.2</v>
      </c>
      <c r="F238" s="3" t="s">
        <v>42</v>
      </c>
      <c r="G238" s="8" t="s">
        <v>82</v>
      </c>
      <c r="H238" s="8" t="str">
        <f>CONCATENATE(Is0six,"A")</f>
        <v>30A</v>
      </c>
      <c r="I238" s="3" t="s">
        <v>29</v>
      </c>
      <c r="J238" s="3"/>
      <c r="K238" s="33" t="str">
        <f>协调曲线图!W44</f>
        <v>SIT</v>
      </c>
      <c r="L238" s="14"/>
    </row>
    <row r="239" spans="1:12" ht="19.5" customHeight="1">
      <c r="A239" s="3"/>
      <c r="B239" s="3"/>
      <c r="C239" s="43" t="s">
        <v>102</v>
      </c>
      <c r="D239" s="44"/>
      <c r="E239" s="29">
        <f>_IIT06</f>
        <v>2</v>
      </c>
      <c r="F239" s="44" t="s">
        <v>42</v>
      </c>
      <c r="G239" s="8" t="s">
        <v>83</v>
      </c>
      <c r="H239" s="8" t="str">
        <f>CONCATENATE(F235,"A")</f>
        <v>300A</v>
      </c>
      <c r="I239" s="44"/>
      <c r="J239" s="44"/>
      <c r="K239" s="45"/>
      <c r="L239" s="17"/>
    </row>
    <row r="240" spans="1:12" ht="19.5" customHeight="1">
      <c r="A240" s="3"/>
      <c r="B240" s="3"/>
      <c r="C240" s="188" t="s">
        <v>31</v>
      </c>
      <c r="D240" s="117" t="s">
        <v>32</v>
      </c>
      <c r="E240" s="153"/>
      <c r="F240" s="153"/>
      <c r="G240" s="118"/>
      <c r="H240" s="154" t="s">
        <v>33</v>
      </c>
      <c r="I240" s="127"/>
      <c r="J240" s="127"/>
      <c r="K240" s="155"/>
      <c r="L240" s="14"/>
    </row>
    <row r="241" spans="1:12" ht="19.5" customHeight="1">
      <c r="A241" s="3"/>
      <c r="B241" s="3"/>
      <c r="C241" s="189"/>
      <c r="D241" s="117" t="s">
        <v>34</v>
      </c>
      <c r="E241" s="118"/>
      <c r="F241" s="110" t="s">
        <v>35</v>
      </c>
      <c r="G241" s="118"/>
      <c r="H241" s="156"/>
      <c r="I241" s="124"/>
      <c r="J241" s="124"/>
      <c r="K241" s="157"/>
      <c r="L241" s="14"/>
    </row>
    <row r="242" spans="1:12" ht="19.5" customHeight="1">
      <c r="A242" s="54" t="s">
        <v>14</v>
      </c>
      <c r="B242" s="33"/>
      <c r="C242" s="46">
        <v>2</v>
      </c>
      <c r="D242" s="134">
        <f t="shared" ref="D242:D251" si="10">F242/(covb6/covt6)</f>
        <v>60</v>
      </c>
      <c r="E242" s="135"/>
      <c r="F242" s="136">
        <f t="shared" ref="F242:F250" si="11">Is0six*$C242</f>
        <v>60</v>
      </c>
      <c r="G242" s="137"/>
      <c r="H242" s="138">
        <f>曲線Lever計算!$AB9</f>
        <v>5.4028428390824894</v>
      </c>
      <c r="I242" s="139"/>
      <c r="J242" s="139"/>
      <c r="K242" s="140"/>
      <c r="L242" s="47"/>
    </row>
    <row r="243" spans="1:12" ht="19.5" customHeight="1">
      <c r="A243" s="54" t="s">
        <v>14</v>
      </c>
      <c r="B243" s="33"/>
      <c r="C243" s="46">
        <v>3</v>
      </c>
      <c r="D243" s="134">
        <f t="shared" si="10"/>
        <v>90</v>
      </c>
      <c r="E243" s="135"/>
      <c r="F243" s="136">
        <f t="shared" si="11"/>
        <v>90</v>
      </c>
      <c r="G243" s="137"/>
      <c r="H243" s="138">
        <f>曲線Lever計算!$AB10</f>
        <v>3.3949796240768233</v>
      </c>
      <c r="I243" s="139"/>
      <c r="J243" s="139"/>
      <c r="K243" s="140"/>
      <c r="L243" s="47"/>
    </row>
    <row r="244" spans="1:12" ht="19.5" customHeight="1">
      <c r="A244" s="54" t="s">
        <v>14</v>
      </c>
      <c r="B244" s="33"/>
      <c r="C244" s="46">
        <v>4</v>
      </c>
      <c r="D244" s="134">
        <f t="shared" si="10"/>
        <v>120</v>
      </c>
      <c r="E244" s="135"/>
      <c r="F244" s="136">
        <f t="shared" si="11"/>
        <v>120</v>
      </c>
      <c r="G244" s="137"/>
      <c r="H244" s="138">
        <f>曲線Lever計算!$AB11</f>
        <v>2.6826968930108537</v>
      </c>
      <c r="I244" s="139"/>
      <c r="J244" s="139"/>
      <c r="K244" s="140"/>
      <c r="L244" s="47"/>
    </row>
    <row r="245" spans="1:12" ht="19.5" customHeight="1">
      <c r="A245" s="54" t="s">
        <v>14</v>
      </c>
      <c r="B245" s="33"/>
      <c r="C245" s="46">
        <v>5</v>
      </c>
      <c r="D245" s="134">
        <f t="shared" si="10"/>
        <v>150</v>
      </c>
      <c r="E245" s="135"/>
      <c r="F245" s="136">
        <f t="shared" si="11"/>
        <v>150</v>
      </c>
      <c r="G245" s="137"/>
      <c r="H245" s="138">
        <f>曲線Lever計算!$AB12</f>
        <v>2.3055731021927941</v>
      </c>
      <c r="I245" s="139"/>
      <c r="J245" s="139"/>
      <c r="K245" s="140"/>
      <c r="L245" s="47"/>
    </row>
    <row r="246" spans="1:12" ht="19.5" customHeight="1">
      <c r="A246" s="54" t="s">
        <v>14</v>
      </c>
      <c r="B246" s="33"/>
      <c r="C246" s="46">
        <v>6</v>
      </c>
      <c r="D246" s="134">
        <f t="shared" si="10"/>
        <v>180</v>
      </c>
      <c r="E246" s="135"/>
      <c r="F246" s="136">
        <f t="shared" si="11"/>
        <v>180</v>
      </c>
      <c r="G246" s="137"/>
      <c r="H246" s="138">
        <f>曲線Lever計算!$AB13</f>
        <v>2.0671743860581859</v>
      </c>
      <c r="I246" s="139"/>
      <c r="J246" s="139"/>
      <c r="K246" s="140"/>
      <c r="L246" s="47"/>
    </row>
    <row r="247" spans="1:12" ht="19.5" customHeight="1">
      <c r="A247" s="54" t="s">
        <v>14</v>
      </c>
      <c r="B247" s="33"/>
      <c r="C247" s="46">
        <v>7</v>
      </c>
      <c r="D247" s="134">
        <f t="shared" si="10"/>
        <v>210</v>
      </c>
      <c r="E247" s="135"/>
      <c r="F247" s="136">
        <f t="shared" si="11"/>
        <v>210</v>
      </c>
      <c r="G247" s="137"/>
      <c r="H247" s="138">
        <f>曲線Lever計算!$AB14</f>
        <v>1.9004673028031178</v>
      </c>
      <c r="I247" s="139"/>
      <c r="J247" s="139"/>
      <c r="K247" s="140"/>
      <c r="L247" s="47"/>
    </row>
    <row r="248" spans="1:12" ht="19.5" customHeight="1">
      <c r="A248" s="54" t="s">
        <v>14</v>
      </c>
      <c r="B248" s="33"/>
      <c r="C248" s="46">
        <v>8</v>
      </c>
      <c r="D248" s="134">
        <f t="shared" si="10"/>
        <v>240</v>
      </c>
      <c r="E248" s="135"/>
      <c r="F248" s="136">
        <f t="shared" si="11"/>
        <v>240</v>
      </c>
      <c r="G248" s="137"/>
      <c r="H248" s="138">
        <f>曲線Lever計算!$AB15</f>
        <v>1.7760396594105565</v>
      </c>
      <c r="I248" s="139"/>
      <c r="J248" s="139"/>
      <c r="K248" s="140"/>
      <c r="L248" s="47"/>
    </row>
    <row r="249" spans="1:12" ht="19.5" customHeight="1">
      <c r="A249" s="54" t="s">
        <v>14</v>
      </c>
      <c r="B249" s="33"/>
      <c r="C249" s="46">
        <v>9</v>
      </c>
      <c r="D249" s="134">
        <f t="shared" si="10"/>
        <v>270</v>
      </c>
      <c r="E249" s="135"/>
      <c r="F249" s="136">
        <f t="shared" si="11"/>
        <v>270</v>
      </c>
      <c r="G249" s="137"/>
      <c r="H249" s="138">
        <f>曲線Lever計算!$AB16</f>
        <v>1.6788417306011887</v>
      </c>
      <c r="I249" s="139"/>
      <c r="J249" s="139"/>
      <c r="K249" s="140"/>
      <c r="L249" s="47"/>
    </row>
    <row r="250" spans="1:12" ht="19.5" customHeight="1">
      <c r="A250" s="54" t="s">
        <v>14</v>
      </c>
      <c r="B250" s="33"/>
      <c r="C250" s="46">
        <v>10</v>
      </c>
      <c r="D250" s="134">
        <f t="shared" si="10"/>
        <v>300</v>
      </c>
      <c r="E250" s="135"/>
      <c r="F250" s="136">
        <f t="shared" si="11"/>
        <v>300</v>
      </c>
      <c r="G250" s="137"/>
      <c r="H250" s="138">
        <f>曲線Lever計算!$AB17</f>
        <v>1.6003224911452743</v>
      </c>
      <c r="I250" s="139"/>
      <c r="J250" s="139"/>
      <c r="K250" s="140"/>
      <c r="L250" s="47"/>
    </row>
    <row r="251" spans="1:12" ht="19.5" customHeight="1" thickBot="1">
      <c r="A251" s="54" t="s">
        <v>14</v>
      </c>
      <c r="B251" s="33"/>
      <c r="C251" s="48" t="s">
        <v>53</v>
      </c>
      <c r="D251" s="141">
        <f t="shared" si="10"/>
        <v>300</v>
      </c>
      <c r="E251" s="142"/>
      <c r="F251" s="141">
        <f>F235</f>
        <v>300</v>
      </c>
      <c r="G251" s="143"/>
      <c r="H251" s="144">
        <f>IF(Lco瞬跳時間6=" ",0.025,Lco瞬跳時間6)</f>
        <v>0.05</v>
      </c>
      <c r="I251" s="145"/>
      <c r="J251" s="145"/>
      <c r="K251" s="146"/>
      <c r="L251" s="47"/>
    </row>
    <row r="252" spans="1:12" ht="19.5" customHeight="1">
      <c r="A252" s="3"/>
      <c r="B252" s="3"/>
      <c r="C252" s="3" t="s">
        <v>14</v>
      </c>
      <c r="D252" s="3"/>
      <c r="E252" s="3"/>
      <c r="F252" s="3"/>
      <c r="G252" s="3"/>
      <c r="H252" s="3"/>
      <c r="I252" s="3"/>
      <c r="J252" s="3"/>
      <c r="K252" s="3"/>
      <c r="L252" s="17"/>
    </row>
    <row r="253" spans="1:12" ht="19.5" customHeight="1" thickBot="1">
      <c r="A253" s="3"/>
      <c r="B253" s="3"/>
      <c r="C253" s="128" t="s">
        <v>37</v>
      </c>
      <c r="D253" s="128"/>
      <c r="E253" s="128"/>
      <c r="F253" s="3"/>
      <c r="G253" s="3"/>
      <c r="H253" s="3"/>
      <c r="I253" s="3"/>
      <c r="J253" s="3"/>
      <c r="K253" s="3"/>
      <c r="L253" s="17"/>
    </row>
    <row r="254" spans="1:12" ht="19.5" customHeight="1">
      <c r="A254" s="3"/>
      <c r="B254" s="3"/>
      <c r="C254" s="31" t="s">
        <v>38</v>
      </c>
      <c r="D254" s="129" t="str">
        <f>F236</f>
        <v>SEPAM M87</v>
      </c>
      <c r="E254" s="183"/>
      <c r="F254" s="184" t="s">
        <v>39</v>
      </c>
      <c r="G254" s="132"/>
      <c r="H254" s="119" t="s">
        <v>70</v>
      </c>
      <c r="I254" s="124" t="s">
        <v>41</v>
      </c>
      <c r="J254" s="124"/>
      <c r="K254" s="124"/>
      <c r="L254" s="14"/>
    </row>
    <row r="255" spans="1:12" ht="19.5" customHeight="1">
      <c r="A255" s="3"/>
      <c r="B255" s="3"/>
      <c r="C255" s="31" t="s">
        <v>71</v>
      </c>
      <c r="D255" s="117" t="str">
        <f>CONCATENATE(一次側6,"A")</f>
        <v>150A</v>
      </c>
      <c r="E255" s="118"/>
      <c r="F255" s="110" t="s">
        <v>43</v>
      </c>
      <c r="G255" s="111"/>
      <c r="H255" s="119"/>
      <c r="I255" s="127" t="s">
        <v>44</v>
      </c>
      <c r="J255" s="127"/>
      <c r="K255" s="127"/>
      <c r="L255" s="14"/>
    </row>
    <row r="256" spans="1:12" ht="19.5" customHeight="1">
      <c r="A256" s="3"/>
      <c r="B256" s="3"/>
      <c r="C256" s="31" t="s">
        <v>72</v>
      </c>
      <c r="D256" s="117" t="str">
        <f>IF(AND(0.1&lt;=Is0six/一次側6,Is0six/一次側6&lt;=1),H238,"ERROR!")</f>
        <v>30A</v>
      </c>
      <c r="E256" s="118"/>
      <c r="F256" s="110" t="s">
        <v>73</v>
      </c>
      <c r="G256" s="111"/>
      <c r="H256" s="70" t="s">
        <v>134</v>
      </c>
      <c r="I256" s="133" t="s">
        <v>135</v>
      </c>
      <c r="J256" s="133"/>
      <c r="K256" s="133"/>
      <c r="L256" s="14"/>
    </row>
    <row r="257" spans="1:12" ht="19.5" customHeight="1">
      <c r="A257" s="3"/>
      <c r="B257" s="3"/>
      <c r="C257" s="31" t="s">
        <v>74</v>
      </c>
      <c r="D257" s="108">
        <f>Lever6</f>
        <v>0.1</v>
      </c>
      <c r="E257" s="109"/>
      <c r="F257" s="110" t="s">
        <v>50</v>
      </c>
      <c r="G257" s="111"/>
      <c r="H257" s="36" t="s">
        <v>75</v>
      </c>
      <c r="I257" s="112" t="s">
        <v>76</v>
      </c>
      <c r="J257" s="112"/>
      <c r="K257" s="112"/>
      <c r="L257" s="14"/>
    </row>
    <row r="258" spans="1:12" ht="19.5" customHeight="1">
      <c r="A258" s="3"/>
      <c r="B258" s="3"/>
      <c r="C258" s="31" t="s">
        <v>77</v>
      </c>
      <c r="D258" s="117" t="str">
        <f>IF(AND(0.1&lt;=F235/一次側6,F235/一次側6&lt;=15),H239,"ERROR!")</f>
        <v>300A</v>
      </c>
      <c r="E258" s="118"/>
      <c r="F258" s="110" t="s">
        <v>78</v>
      </c>
      <c r="G258" s="111"/>
      <c r="H258" s="119" t="s">
        <v>79</v>
      </c>
      <c r="I258" s="29" t="s">
        <v>80</v>
      </c>
      <c r="J258" s="112" t="s">
        <v>14</v>
      </c>
      <c r="K258" s="8"/>
      <c r="L258" s="14"/>
    </row>
    <row r="259" spans="1:12" ht="19.5" customHeight="1">
      <c r="A259" s="3"/>
      <c r="B259" s="3"/>
      <c r="C259" s="31" t="s">
        <v>81</v>
      </c>
      <c r="D259" s="181">
        <v>0.05</v>
      </c>
      <c r="E259" s="182"/>
      <c r="F259" s="122" t="s">
        <v>131</v>
      </c>
      <c r="G259" s="123"/>
      <c r="H259" s="119"/>
      <c r="I259" s="8" t="s">
        <v>101</v>
      </c>
      <c r="J259" s="112"/>
      <c r="K259" s="8"/>
      <c r="L259" s="14"/>
    </row>
    <row r="260" spans="1:12" ht="19.5" customHeight="1" thickBot="1">
      <c r="A260" s="3"/>
      <c r="B260" s="3"/>
      <c r="C260" s="37" t="s">
        <v>58</v>
      </c>
      <c r="D260" s="113" t="str">
        <f>K238</f>
        <v>SIT</v>
      </c>
      <c r="E260" s="114"/>
      <c r="F260" s="115"/>
      <c r="G260" s="116"/>
      <c r="H260" s="3"/>
      <c r="I260" s="8"/>
      <c r="J260" s="8"/>
      <c r="K260" s="8"/>
      <c r="L260" s="14"/>
    </row>
    <row r="261" spans="1:12" ht="19.5" customHeight="1"/>
    <row r="262" spans="1:12" ht="19.5" customHeight="1"/>
    <row r="263" spans="1:12" ht="19.5" customHeight="1"/>
    <row r="264" spans="1:12" ht="19.5" customHeight="1"/>
    <row r="265" spans="1:12" ht="19.5" customHeight="1"/>
  </sheetData>
  <sheetProtection formatCells="0" formatColumns="0" formatRows="0" insertColumns="0" insertRows="0" insertHyperlinks="0" deleteColumns="0" deleteRows="0" sort="0" autoFilter="0" pivotTables="0"/>
  <mergeCells count="504">
    <mergeCell ref="H258:H259"/>
    <mergeCell ref="J258:J259"/>
    <mergeCell ref="D259:E259"/>
    <mergeCell ref="F259:G259"/>
    <mergeCell ref="D260:E260"/>
    <mergeCell ref="F260:G260"/>
    <mergeCell ref="D258:E258"/>
    <mergeCell ref="F258:G258"/>
    <mergeCell ref="D256:E256"/>
    <mergeCell ref="F256:G256"/>
    <mergeCell ref="I256:K256"/>
    <mergeCell ref="D257:E257"/>
    <mergeCell ref="F257:G257"/>
    <mergeCell ref="I257:K257"/>
    <mergeCell ref="C253:E253"/>
    <mergeCell ref="D254:E254"/>
    <mergeCell ref="F254:G254"/>
    <mergeCell ref="H254:H255"/>
    <mergeCell ref="I254:K254"/>
    <mergeCell ref="D255:E255"/>
    <mergeCell ref="F255:G255"/>
    <mergeCell ref="I255:K255"/>
    <mergeCell ref="D250:E250"/>
    <mergeCell ref="F250:G250"/>
    <mergeCell ref="H250:K250"/>
    <mergeCell ref="D251:E251"/>
    <mergeCell ref="F251:G251"/>
    <mergeCell ref="H251:K251"/>
    <mergeCell ref="D248:E248"/>
    <mergeCell ref="F248:G248"/>
    <mergeCell ref="H248:K248"/>
    <mergeCell ref="D249:E249"/>
    <mergeCell ref="F249:G249"/>
    <mergeCell ref="H249:K249"/>
    <mergeCell ref="D246:E246"/>
    <mergeCell ref="F246:G246"/>
    <mergeCell ref="H246:K246"/>
    <mergeCell ref="D247:E247"/>
    <mergeCell ref="F247:G247"/>
    <mergeCell ref="H247:K247"/>
    <mergeCell ref="D244:E244"/>
    <mergeCell ref="F244:G244"/>
    <mergeCell ref="H244:K244"/>
    <mergeCell ref="D245:E245"/>
    <mergeCell ref="F245:G245"/>
    <mergeCell ref="H245:K245"/>
    <mergeCell ref="D242:E242"/>
    <mergeCell ref="F242:G242"/>
    <mergeCell ref="H242:K242"/>
    <mergeCell ref="D243:E243"/>
    <mergeCell ref="F243:G243"/>
    <mergeCell ref="H243:K243"/>
    <mergeCell ref="C236:E236"/>
    <mergeCell ref="F236:K236"/>
    <mergeCell ref="C240:C241"/>
    <mergeCell ref="D240:G240"/>
    <mergeCell ref="H240:K241"/>
    <mergeCell ref="D241:E241"/>
    <mergeCell ref="F241:G241"/>
    <mergeCell ref="C232:E232"/>
    <mergeCell ref="H232:K232"/>
    <mergeCell ref="C233:E233"/>
    <mergeCell ref="H233:K233"/>
    <mergeCell ref="C235:E235"/>
    <mergeCell ref="H235:K235"/>
    <mergeCell ref="C234:E234"/>
    <mergeCell ref="H234:K234"/>
    <mergeCell ref="H228:K228"/>
    <mergeCell ref="C229:E229"/>
    <mergeCell ref="H229:K229"/>
    <mergeCell ref="C230:E230"/>
    <mergeCell ref="H230:K230"/>
    <mergeCell ref="C231:E231"/>
    <mergeCell ref="H231:K231"/>
    <mergeCell ref="E223:G223"/>
    <mergeCell ref="C224:E224"/>
    <mergeCell ref="H224:K224"/>
    <mergeCell ref="C225:E225"/>
    <mergeCell ref="H225:K225"/>
    <mergeCell ref="C227:E227"/>
    <mergeCell ref="H227:K227"/>
    <mergeCell ref="C228:E228"/>
    <mergeCell ref="C226:E226"/>
    <mergeCell ref="H226:K226"/>
    <mergeCell ref="D214:E214"/>
    <mergeCell ref="F214:G214"/>
    <mergeCell ref="H214:H215"/>
    <mergeCell ref="J214:J215"/>
    <mergeCell ref="D215:E215"/>
    <mergeCell ref="F215:G215"/>
    <mergeCell ref="D216:E216"/>
    <mergeCell ref="F216:G216"/>
    <mergeCell ref="D212:E212"/>
    <mergeCell ref="F212:G212"/>
    <mergeCell ref="I212:K212"/>
    <mergeCell ref="D213:E213"/>
    <mergeCell ref="F213:G213"/>
    <mergeCell ref="I213:K213"/>
    <mergeCell ref="C209:E209"/>
    <mergeCell ref="D210:E210"/>
    <mergeCell ref="F210:G210"/>
    <mergeCell ref="H210:H211"/>
    <mergeCell ref="I210:K210"/>
    <mergeCell ref="D211:E211"/>
    <mergeCell ref="F211:G211"/>
    <mergeCell ref="I211:K211"/>
    <mergeCell ref="D206:E206"/>
    <mergeCell ref="F206:G206"/>
    <mergeCell ref="H206:K206"/>
    <mergeCell ref="D207:E207"/>
    <mergeCell ref="F207:G207"/>
    <mergeCell ref="H207:K207"/>
    <mergeCell ref="D204:E204"/>
    <mergeCell ref="F204:G204"/>
    <mergeCell ref="H204:K204"/>
    <mergeCell ref="D205:E205"/>
    <mergeCell ref="F205:G205"/>
    <mergeCell ref="H205:K205"/>
    <mergeCell ref="D202:E202"/>
    <mergeCell ref="F202:G202"/>
    <mergeCell ref="H202:K202"/>
    <mergeCell ref="D203:E203"/>
    <mergeCell ref="F203:G203"/>
    <mergeCell ref="H203:K203"/>
    <mergeCell ref="D200:E200"/>
    <mergeCell ref="F200:G200"/>
    <mergeCell ref="H200:K200"/>
    <mergeCell ref="D201:E201"/>
    <mergeCell ref="F201:G201"/>
    <mergeCell ref="H201:K201"/>
    <mergeCell ref="D198:E198"/>
    <mergeCell ref="F198:G198"/>
    <mergeCell ref="H198:K198"/>
    <mergeCell ref="D199:E199"/>
    <mergeCell ref="F199:G199"/>
    <mergeCell ref="H199:K199"/>
    <mergeCell ref="C192:E192"/>
    <mergeCell ref="F192:K192"/>
    <mergeCell ref="C196:C197"/>
    <mergeCell ref="D196:G196"/>
    <mergeCell ref="H196:K197"/>
    <mergeCell ref="D197:E197"/>
    <mergeCell ref="F197:G197"/>
    <mergeCell ref="C188:E188"/>
    <mergeCell ref="H188:K188"/>
    <mergeCell ref="C189:E189"/>
    <mergeCell ref="H189:K189"/>
    <mergeCell ref="C191:E191"/>
    <mergeCell ref="H191:K191"/>
    <mergeCell ref="C190:E190"/>
    <mergeCell ref="H190:K190"/>
    <mergeCell ref="H184:K184"/>
    <mergeCell ref="C185:E185"/>
    <mergeCell ref="H185:K185"/>
    <mergeCell ref="C186:E186"/>
    <mergeCell ref="H186:K186"/>
    <mergeCell ref="C187:E187"/>
    <mergeCell ref="H187:K187"/>
    <mergeCell ref="E179:G179"/>
    <mergeCell ref="C180:E180"/>
    <mergeCell ref="H180:K180"/>
    <mergeCell ref="C181:E181"/>
    <mergeCell ref="H181:K181"/>
    <mergeCell ref="C183:E183"/>
    <mergeCell ref="H183:K183"/>
    <mergeCell ref="C184:E184"/>
    <mergeCell ref="C182:E182"/>
    <mergeCell ref="H182:K182"/>
    <mergeCell ref="D170:E170"/>
    <mergeCell ref="F170:G170"/>
    <mergeCell ref="H170:H171"/>
    <mergeCell ref="J170:J171"/>
    <mergeCell ref="D171:E171"/>
    <mergeCell ref="F171:G171"/>
    <mergeCell ref="D172:E172"/>
    <mergeCell ref="F172:G172"/>
    <mergeCell ref="D168:E168"/>
    <mergeCell ref="F168:G168"/>
    <mergeCell ref="I168:K168"/>
    <mergeCell ref="D169:E169"/>
    <mergeCell ref="F169:G169"/>
    <mergeCell ref="I169:K169"/>
    <mergeCell ref="C165:E165"/>
    <mergeCell ref="D166:E166"/>
    <mergeCell ref="F166:G166"/>
    <mergeCell ref="H166:H167"/>
    <mergeCell ref="I166:K166"/>
    <mergeCell ref="D167:E167"/>
    <mergeCell ref="F167:G167"/>
    <mergeCell ref="I167:K167"/>
    <mergeCell ref="D162:E162"/>
    <mergeCell ref="F162:G162"/>
    <mergeCell ref="H162:K162"/>
    <mergeCell ref="D163:E163"/>
    <mergeCell ref="F163:G163"/>
    <mergeCell ref="H163:K163"/>
    <mergeCell ref="D160:E160"/>
    <mergeCell ref="F160:G160"/>
    <mergeCell ref="H160:K160"/>
    <mergeCell ref="D161:E161"/>
    <mergeCell ref="F161:G161"/>
    <mergeCell ref="H161:K161"/>
    <mergeCell ref="D158:E158"/>
    <mergeCell ref="F158:G158"/>
    <mergeCell ref="H158:K158"/>
    <mergeCell ref="D159:E159"/>
    <mergeCell ref="F159:G159"/>
    <mergeCell ref="H159:K159"/>
    <mergeCell ref="D156:E156"/>
    <mergeCell ref="F156:G156"/>
    <mergeCell ref="H156:K156"/>
    <mergeCell ref="D157:E157"/>
    <mergeCell ref="F157:G157"/>
    <mergeCell ref="H157:K157"/>
    <mergeCell ref="D154:E154"/>
    <mergeCell ref="F154:G154"/>
    <mergeCell ref="H154:K154"/>
    <mergeCell ref="D155:E155"/>
    <mergeCell ref="F155:G155"/>
    <mergeCell ref="H155:K155"/>
    <mergeCell ref="C148:E148"/>
    <mergeCell ref="F148:K148"/>
    <mergeCell ref="C152:C153"/>
    <mergeCell ref="D152:G152"/>
    <mergeCell ref="H152:K153"/>
    <mergeCell ref="D153:E153"/>
    <mergeCell ref="F153:G153"/>
    <mergeCell ref="C144:E144"/>
    <mergeCell ref="H144:K144"/>
    <mergeCell ref="C145:E145"/>
    <mergeCell ref="H145:K145"/>
    <mergeCell ref="C147:E147"/>
    <mergeCell ref="H147:K147"/>
    <mergeCell ref="C146:E146"/>
    <mergeCell ref="H146:K146"/>
    <mergeCell ref="H140:K140"/>
    <mergeCell ref="C141:E141"/>
    <mergeCell ref="H141:K141"/>
    <mergeCell ref="C142:E142"/>
    <mergeCell ref="H142:K142"/>
    <mergeCell ref="C143:E143"/>
    <mergeCell ref="H143:K143"/>
    <mergeCell ref="E135:G135"/>
    <mergeCell ref="C136:E136"/>
    <mergeCell ref="H136:K136"/>
    <mergeCell ref="C137:E137"/>
    <mergeCell ref="H137:K137"/>
    <mergeCell ref="C139:E139"/>
    <mergeCell ref="H139:K139"/>
    <mergeCell ref="C140:E140"/>
    <mergeCell ref="C138:E138"/>
    <mergeCell ref="H138:K138"/>
    <mergeCell ref="D126:E126"/>
    <mergeCell ref="F126:G126"/>
    <mergeCell ref="H126:H127"/>
    <mergeCell ref="J126:J127"/>
    <mergeCell ref="D127:E127"/>
    <mergeCell ref="F127:G127"/>
    <mergeCell ref="D128:E128"/>
    <mergeCell ref="F128:G128"/>
    <mergeCell ref="D124:E124"/>
    <mergeCell ref="F124:G124"/>
    <mergeCell ref="I124:K124"/>
    <mergeCell ref="D125:E125"/>
    <mergeCell ref="F125:G125"/>
    <mergeCell ref="I125:K125"/>
    <mergeCell ref="C121:E121"/>
    <mergeCell ref="D122:E122"/>
    <mergeCell ref="F122:G122"/>
    <mergeCell ref="H122:H123"/>
    <mergeCell ref="I122:K122"/>
    <mergeCell ref="D123:E123"/>
    <mergeCell ref="F123:G123"/>
    <mergeCell ref="I123:K123"/>
    <mergeCell ref="D118:E118"/>
    <mergeCell ref="F118:G118"/>
    <mergeCell ref="H118:K118"/>
    <mergeCell ref="D119:E119"/>
    <mergeCell ref="F119:G119"/>
    <mergeCell ref="H119:K119"/>
    <mergeCell ref="D116:E116"/>
    <mergeCell ref="F116:G116"/>
    <mergeCell ref="H116:K116"/>
    <mergeCell ref="D117:E117"/>
    <mergeCell ref="F117:G117"/>
    <mergeCell ref="H117:K117"/>
    <mergeCell ref="D114:E114"/>
    <mergeCell ref="F114:G114"/>
    <mergeCell ref="H114:K114"/>
    <mergeCell ref="D115:E115"/>
    <mergeCell ref="F115:G115"/>
    <mergeCell ref="H115:K115"/>
    <mergeCell ref="D112:E112"/>
    <mergeCell ref="F112:G112"/>
    <mergeCell ref="H112:K112"/>
    <mergeCell ref="D113:E113"/>
    <mergeCell ref="F113:G113"/>
    <mergeCell ref="H113:K113"/>
    <mergeCell ref="D110:E110"/>
    <mergeCell ref="F110:G110"/>
    <mergeCell ref="H110:K110"/>
    <mergeCell ref="D111:E111"/>
    <mergeCell ref="F111:G111"/>
    <mergeCell ref="H111:K111"/>
    <mergeCell ref="C104:E104"/>
    <mergeCell ref="F104:K104"/>
    <mergeCell ref="C108:C109"/>
    <mergeCell ref="D108:G108"/>
    <mergeCell ref="H108:K109"/>
    <mergeCell ref="D109:E109"/>
    <mergeCell ref="F109:G109"/>
    <mergeCell ref="C100:E100"/>
    <mergeCell ref="H100:K100"/>
    <mergeCell ref="C101:E101"/>
    <mergeCell ref="H101:K101"/>
    <mergeCell ref="C103:E103"/>
    <mergeCell ref="H103:K103"/>
    <mergeCell ref="C102:E102"/>
    <mergeCell ref="H102:K102"/>
    <mergeCell ref="H96:K96"/>
    <mergeCell ref="C97:E97"/>
    <mergeCell ref="H97:K97"/>
    <mergeCell ref="C98:E98"/>
    <mergeCell ref="H98:K98"/>
    <mergeCell ref="C99:E99"/>
    <mergeCell ref="H99:K99"/>
    <mergeCell ref="E91:G91"/>
    <mergeCell ref="C92:E92"/>
    <mergeCell ref="H92:K92"/>
    <mergeCell ref="C93:E93"/>
    <mergeCell ref="H93:K93"/>
    <mergeCell ref="C95:E95"/>
    <mergeCell ref="H95:K95"/>
    <mergeCell ref="C96:E96"/>
    <mergeCell ref="C94:E94"/>
    <mergeCell ref="H94:K94"/>
    <mergeCell ref="D82:E82"/>
    <mergeCell ref="F82:G82"/>
    <mergeCell ref="H82:H83"/>
    <mergeCell ref="J82:J83"/>
    <mergeCell ref="D83:E83"/>
    <mergeCell ref="F83:G83"/>
    <mergeCell ref="D84:E84"/>
    <mergeCell ref="F84:G84"/>
    <mergeCell ref="D80:E80"/>
    <mergeCell ref="F80:G80"/>
    <mergeCell ref="I80:K80"/>
    <mergeCell ref="D81:E81"/>
    <mergeCell ref="F81:G81"/>
    <mergeCell ref="I81:K81"/>
    <mergeCell ref="C77:E77"/>
    <mergeCell ref="D78:E78"/>
    <mergeCell ref="F78:G78"/>
    <mergeCell ref="H78:H79"/>
    <mergeCell ref="I78:K78"/>
    <mergeCell ref="D79:E79"/>
    <mergeCell ref="F79:G79"/>
    <mergeCell ref="I79:K79"/>
    <mergeCell ref="D74:E74"/>
    <mergeCell ref="F74:G74"/>
    <mergeCell ref="H74:K74"/>
    <mergeCell ref="D75:E75"/>
    <mergeCell ref="F75:G75"/>
    <mergeCell ref="H75:K75"/>
    <mergeCell ref="D72:E72"/>
    <mergeCell ref="F72:G72"/>
    <mergeCell ref="H72:K72"/>
    <mergeCell ref="D73:E73"/>
    <mergeCell ref="F73:G73"/>
    <mergeCell ref="H73:K73"/>
    <mergeCell ref="D70:E70"/>
    <mergeCell ref="F70:G70"/>
    <mergeCell ref="H70:K70"/>
    <mergeCell ref="D71:E71"/>
    <mergeCell ref="F71:G71"/>
    <mergeCell ref="H71:K71"/>
    <mergeCell ref="D68:E68"/>
    <mergeCell ref="F68:G68"/>
    <mergeCell ref="H68:K68"/>
    <mergeCell ref="D69:E69"/>
    <mergeCell ref="F69:G69"/>
    <mergeCell ref="H69:K69"/>
    <mergeCell ref="D66:E66"/>
    <mergeCell ref="F66:G66"/>
    <mergeCell ref="H66:K66"/>
    <mergeCell ref="D67:E67"/>
    <mergeCell ref="F67:G67"/>
    <mergeCell ref="H67:K67"/>
    <mergeCell ref="C60:E60"/>
    <mergeCell ref="F60:K60"/>
    <mergeCell ref="C64:C65"/>
    <mergeCell ref="D64:G64"/>
    <mergeCell ref="H64:K65"/>
    <mergeCell ref="D65:E65"/>
    <mergeCell ref="F65:G65"/>
    <mergeCell ref="C56:E56"/>
    <mergeCell ref="H56:K56"/>
    <mergeCell ref="C57:E57"/>
    <mergeCell ref="H57:K57"/>
    <mergeCell ref="C58:E58"/>
    <mergeCell ref="H58:K58"/>
    <mergeCell ref="C59:E59"/>
    <mergeCell ref="H59:K59"/>
    <mergeCell ref="C52:E52"/>
    <mergeCell ref="H52:K52"/>
    <mergeCell ref="C53:E53"/>
    <mergeCell ref="H53:K53"/>
    <mergeCell ref="C54:E54"/>
    <mergeCell ref="H54:K54"/>
    <mergeCell ref="C55:E55"/>
    <mergeCell ref="H55:K55"/>
    <mergeCell ref="E47:G47"/>
    <mergeCell ref="C48:E48"/>
    <mergeCell ref="H48:K48"/>
    <mergeCell ref="C49:E49"/>
    <mergeCell ref="H49:K49"/>
    <mergeCell ref="C50:E50"/>
    <mergeCell ref="H50:K50"/>
    <mergeCell ref="C51:E51"/>
    <mergeCell ref="H51:K51"/>
    <mergeCell ref="C9:E9"/>
    <mergeCell ref="H9:K9"/>
    <mergeCell ref="E3:G3"/>
    <mergeCell ref="C4:E4"/>
    <mergeCell ref="H4:K4"/>
    <mergeCell ref="C5:E5"/>
    <mergeCell ref="H5:K5"/>
    <mergeCell ref="C6:E6"/>
    <mergeCell ref="H6:K6"/>
    <mergeCell ref="C7:E7"/>
    <mergeCell ref="H7:K7"/>
    <mergeCell ref="C8:E8"/>
    <mergeCell ref="H8:K8"/>
    <mergeCell ref="D30:E30"/>
    <mergeCell ref="H15:K15"/>
    <mergeCell ref="C10:E10"/>
    <mergeCell ref="H10:K10"/>
    <mergeCell ref="C11:E11"/>
    <mergeCell ref="H11:K11"/>
    <mergeCell ref="C12:E12"/>
    <mergeCell ref="H12:K12"/>
    <mergeCell ref="D22:E22"/>
    <mergeCell ref="F22:G22"/>
    <mergeCell ref="H22:K22"/>
    <mergeCell ref="C13:E13"/>
    <mergeCell ref="H13:K13"/>
    <mergeCell ref="C16:E16"/>
    <mergeCell ref="F16:K16"/>
    <mergeCell ref="C14:E14"/>
    <mergeCell ref="H14:K14"/>
    <mergeCell ref="C15:E15"/>
    <mergeCell ref="C20:C21"/>
    <mergeCell ref="D20:G20"/>
    <mergeCell ref="H20:K21"/>
    <mergeCell ref="D21:E21"/>
    <mergeCell ref="F21:G21"/>
    <mergeCell ref="I36:K36"/>
    <mergeCell ref="D23:E23"/>
    <mergeCell ref="F23:G23"/>
    <mergeCell ref="H23:K23"/>
    <mergeCell ref="D24:E24"/>
    <mergeCell ref="F24:G24"/>
    <mergeCell ref="H24:K24"/>
    <mergeCell ref="D35:E35"/>
    <mergeCell ref="D25:E25"/>
    <mergeCell ref="F25:G25"/>
    <mergeCell ref="H25:K25"/>
    <mergeCell ref="D26:E26"/>
    <mergeCell ref="F26:G26"/>
    <mergeCell ref="H26:K26"/>
    <mergeCell ref="D27:E27"/>
    <mergeCell ref="F27:G27"/>
    <mergeCell ref="H27:K27"/>
    <mergeCell ref="D28:E28"/>
    <mergeCell ref="F28:G28"/>
    <mergeCell ref="H28:K28"/>
    <mergeCell ref="F35:G35"/>
    <mergeCell ref="D29:E29"/>
    <mergeCell ref="F29:G29"/>
    <mergeCell ref="H29:K29"/>
    <mergeCell ref="D40:E40"/>
    <mergeCell ref="F40:G40"/>
    <mergeCell ref="D38:E38"/>
    <mergeCell ref="F38:G38"/>
    <mergeCell ref="H38:H39"/>
    <mergeCell ref="J38:J39"/>
    <mergeCell ref="F30:G30"/>
    <mergeCell ref="H30:K30"/>
    <mergeCell ref="I35:K35"/>
    <mergeCell ref="H34:H35"/>
    <mergeCell ref="I34:K34"/>
    <mergeCell ref="D39:E39"/>
    <mergeCell ref="D37:E37"/>
    <mergeCell ref="F37:G37"/>
    <mergeCell ref="I37:K37"/>
    <mergeCell ref="F39:G39"/>
    <mergeCell ref="D36:E36"/>
    <mergeCell ref="F36:G36"/>
    <mergeCell ref="D31:E31"/>
    <mergeCell ref="F31:G31"/>
    <mergeCell ref="H31:K31"/>
    <mergeCell ref="C33:E33"/>
    <mergeCell ref="D34:E34"/>
    <mergeCell ref="F34:G34"/>
  </mergeCells>
  <phoneticPr fontId="1" type="noConversion"/>
  <printOptions horizontalCentered="1"/>
  <pageMargins left="0" right="0" top="0" bottom="0" header="0" footer="0"/>
  <pageSetup paperSize="9" orientation="portrait" verticalDpi="300" r:id="rId1"/>
  <headerFooter alignWithMargins="0"/>
  <rowBreaks count="5" manualBreakCount="5">
    <brk id="44" max="16383" man="1"/>
    <brk id="88" max="16383" man="1"/>
    <brk id="132" max="16383" man="1"/>
    <brk id="176" max="16383" man="1"/>
    <brk id="220" max="16383" man="1"/>
  </rowBreaks>
  <drawing r:id="rId2"/>
  <legacyDrawing r:id="rId3"/>
  <oleObjects>
    <mc:AlternateContent xmlns:mc="http://schemas.openxmlformats.org/markup-compatibility/2006">
      <mc:Choice Requires="x14">
        <oleObject progId="Equation.3" shapeId="203777" r:id="rId4">
          <objectPr defaultSize="0" r:id="rId5">
            <anchor moveWithCells="1">
              <from>
                <xdr:col>7</xdr:col>
                <xdr:colOff>95250</xdr:colOff>
                <xdr:row>39</xdr:row>
                <xdr:rowOff>28575</xdr:rowOff>
              </from>
              <to>
                <xdr:col>10</xdr:col>
                <xdr:colOff>0</xdr:colOff>
                <xdr:row>42</xdr:row>
                <xdr:rowOff>66675</xdr:rowOff>
              </to>
            </anchor>
          </objectPr>
        </oleObject>
      </mc:Choice>
      <mc:Fallback>
        <oleObject progId="Equation.3" shapeId="203777" r:id="rId4"/>
      </mc:Fallback>
    </mc:AlternateContent>
    <mc:AlternateContent xmlns:mc="http://schemas.openxmlformats.org/markup-compatibility/2006">
      <mc:Choice Requires="x14">
        <oleObject progId="Equation.3" shapeId="203778" r:id="rId6">
          <objectPr defaultSize="0" r:id="rId7">
            <anchor moveWithCells="1">
              <from>
                <xdr:col>7</xdr:col>
                <xdr:colOff>95250</xdr:colOff>
                <xdr:row>83</xdr:row>
                <xdr:rowOff>28575</xdr:rowOff>
              </from>
              <to>
                <xdr:col>10</xdr:col>
                <xdr:colOff>0</xdr:colOff>
                <xdr:row>86</xdr:row>
                <xdr:rowOff>66675</xdr:rowOff>
              </to>
            </anchor>
          </objectPr>
        </oleObject>
      </mc:Choice>
      <mc:Fallback>
        <oleObject progId="Equation.3" shapeId="203778" r:id="rId6"/>
      </mc:Fallback>
    </mc:AlternateContent>
    <mc:AlternateContent xmlns:mc="http://schemas.openxmlformats.org/markup-compatibility/2006">
      <mc:Choice Requires="x14">
        <oleObject progId="Equation.3" shapeId="203779" r:id="rId8">
          <objectPr defaultSize="0" r:id="rId7">
            <anchor moveWithCells="1">
              <from>
                <xdr:col>7</xdr:col>
                <xdr:colOff>95250</xdr:colOff>
                <xdr:row>127</xdr:row>
                <xdr:rowOff>28575</xdr:rowOff>
              </from>
              <to>
                <xdr:col>10</xdr:col>
                <xdr:colOff>0</xdr:colOff>
                <xdr:row>130</xdr:row>
                <xdr:rowOff>66675</xdr:rowOff>
              </to>
            </anchor>
          </objectPr>
        </oleObject>
      </mc:Choice>
      <mc:Fallback>
        <oleObject progId="Equation.3" shapeId="203779" r:id="rId8"/>
      </mc:Fallback>
    </mc:AlternateContent>
    <mc:AlternateContent xmlns:mc="http://schemas.openxmlformats.org/markup-compatibility/2006">
      <mc:Choice Requires="x14">
        <oleObject progId="Equation.3" shapeId="203780" r:id="rId9">
          <objectPr defaultSize="0" r:id="rId7">
            <anchor moveWithCells="1">
              <from>
                <xdr:col>7</xdr:col>
                <xdr:colOff>95250</xdr:colOff>
                <xdr:row>171</xdr:row>
                <xdr:rowOff>28575</xdr:rowOff>
              </from>
              <to>
                <xdr:col>10</xdr:col>
                <xdr:colOff>0</xdr:colOff>
                <xdr:row>174</xdr:row>
                <xdr:rowOff>66675</xdr:rowOff>
              </to>
            </anchor>
          </objectPr>
        </oleObject>
      </mc:Choice>
      <mc:Fallback>
        <oleObject progId="Equation.3" shapeId="203780" r:id="rId9"/>
      </mc:Fallback>
    </mc:AlternateContent>
    <mc:AlternateContent xmlns:mc="http://schemas.openxmlformats.org/markup-compatibility/2006">
      <mc:Choice Requires="x14">
        <oleObject progId="Equation.3" shapeId="203781" r:id="rId10">
          <objectPr defaultSize="0" r:id="rId7">
            <anchor moveWithCells="1">
              <from>
                <xdr:col>7</xdr:col>
                <xdr:colOff>95250</xdr:colOff>
                <xdr:row>215</xdr:row>
                <xdr:rowOff>28575</xdr:rowOff>
              </from>
              <to>
                <xdr:col>10</xdr:col>
                <xdr:colOff>0</xdr:colOff>
                <xdr:row>218</xdr:row>
                <xdr:rowOff>66675</xdr:rowOff>
              </to>
            </anchor>
          </objectPr>
        </oleObject>
      </mc:Choice>
      <mc:Fallback>
        <oleObject progId="Equation.3" shapeId="203781" r:id="rId10"/>
      </mc:Fallback>
    </mc:AlternateContent>
    <mc:AlternateContent xmlns:mc="http://schemas.openxmlformats.org/markup-compatibility/2006">
      <mc:Choice Requires="x14">
        <oleObject progId="Equation.3" shapeId="203782" r:id="rId11">
          <objectPr defaultSize="0" r:id="rId7">
            <anchor moveWithCells="1">
              <from>
                <xdr:col>7</xdr:col>
                <xdr:colOff>95250</xdr:colOff>
                <xdr:row>259</xdr:row>
                <xdr:rowOff>28575</xdr:rowOff>
              </from>
              <to>
                <xdr:col>10</xdr:col>
                <xdr:colOff>0</xdr:colOff>
                <xdr:row>262</xdr:row>
                <xdr:rowOff>66675</xdr:rowOff>
              </to>
            </anchor>
          </objectPr>
        </oleObject>
      </mc:Choice>
      <mc:Fallback>
        <oleObject progId="Equation.3" shapeId="203782" r:id="rId11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91"/>
  <sheetViews>
    <sheetView zoomScale="70" zoomScaleNormal="70" workbookViewId="0">
      <selection activeCell="E44" sqref="E44"/>
    </sheetView>
  </sheetViews>
  <sheetFormatPr defaultColWidth="0" defaultRowHeight="16.5"/>
  <cols>
    <col min="1" max="1" width="7.125" customWidth="1"/>
    <col min="2" max="26" width="9.625" customWidth="1"/>
    <col min="27" max="35" width="8.75" customWidth="1"/>
    <col min="36" max="36" width="27.5" customWidth="1"/>
    <col min="37" max="37" width="8.75" customWidth="1"/>
    <col min="38" max="38" width="16.125" customWidth="1"/>
    <col min="39" max="16384" width="8.75" hidden="1"/>
  </cols>
  <sheetData>
    <row r="1" spans="1:36" ht="16.5" customHeight="1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  <c r="Y1">
        <v>25</v>
      </c>
    </row>
    <row r="2" spans="1:36" ht="16.5" customHeight="1">
      <c r="B2" s="236" t="s">
        <v>144</v>
      </c>
      <c r="C2" s="236"/>
      <c r="D2" s="236"/>
      <c r="E2" s="236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R2" s="86"/>
      <c r="S2" s="82"/>
      <c r="T2" s="82"/>
      <c r="U2" s="82"/>
      <c r="V2" s="83"/>
      <c r="W2" s="87"/>
      <c r="X2" s="88"/>
      <c r="AJ2" t="s">
        <v>59</v>
      </c>
    </row>
    <row r="3" spans="1:36" ht="16.5" customHeight="1" thickBot="1">
      <c r="B3" s="236"/>
      <c r="C3" s="236"/>
      <c r="D3" s="236"/>
      <c r="E3" s="236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R3" s="86"/>
      <c r="S3" s="84"/>
      <c r="T3" s="85"/>
      <c r="U3" s="85"/>
      <c r="V3" s="85"/>
      <c r="W3" s="88"/>
      <c r="X3" s="88"/>
      <c r="AJ3" t="s">
        <v>127</v>
      </c>
    </row>
    <row r="4" spans="1:36" ht="16.5" customHeight="1">
      <c r="A4" s="59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R4" s="196" t="s">
        <v>150</v>
      </c>
      <c r="S4" s="92" t="s">
        <v>156</v>
      </c>
      <c r="T4" s="89" t="s">
        <v>157</v>
      </c>
      <c r="U4" s="50" t="s">
        <v>158</v>
      </c>
      <c r="V4" s="93" t="s">
        <v>159</v>
      </c>
      <c r="W4" s="50" t="s">
        <v>86</v>
      </c>
      <c r="X4" s="90" t="s">
        <v>160</v>
      </c>
      <c r="Y4" s="94" t="s">
        <v>161</v>
      </c>
      <c r="Z4" s="86"/>
      <c r="AJ4" t="s">
        <v>128</v>
      </c>
    </row>
    <row r="5" spans="1:36" ht="16.5" customHeight="1">
      <c r="A5" s="59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R5" s="197"/>
      <c r="S5" s="102" t="s">
        <v>185</v>
      </c>
      <c r="T5" s="71">
        <v>2000</v>
      </c>
      <c r="U5" s="72">
        <f>covt1</f>
        <v>11.4</v>
      </c>
      <c r="V5" s="72">
        <v>11.4</v>
      </c>
      <c r="W5" s="71">
        <v>100</v>
      </c>
      <c r="X5" s="71">
        <v>150</v>
      </c>
      <c r="Y5" s="73">
        <v>5</v>
      </c>
      <c r="Z5" s="86"/>
      <c r="AJ5" t="s">
        <v>129</v>
      </c>
    </row>
    <row r="6" spans="1:36" ht="16.5" customHeight="1">
      <c r="A6" s="59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R6" s="197"/>
      <c r="S6" s="96" t="s">
        <v>162</v>
      </c>
      <c r="T6" s="97" t="s">
        <v>49</v>
      </c>
      <c r="U6" s="97" t="s">
        <v>87</v>
      </c>
      <c r="V6" s="97" t="s">
        <v>84</v>
      </c>
      <c r="W6" s="105" t="s">
        <v>182</v>
      </c>
      <c r="X6" s="74" t="s">
        <v>136</v>
      </c>
      <c r="Y6" s="107" t="s">
        <v>183</v>
      </c>
      <c r="Z6" s="86"/>
    </row>
    <row r="7" spans="1:36" ht="16.5" customHeight="1">
      <c r="A7" s="59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R7" s="197"/>
      <c r="S7" s="103" t="s">
        <v>88</v>
      </c>
      <c r="T7" s="75">
        <v>0.1</v>
      </c>
      <c r="U7" s="76">
        <f>_Ts1</f>
        <v>32</v>
      </c>
      <c r="V7" s="75">
        <v>32</v>
      </c>
      <c r="W7" s="75">
        <v>1050</v>
      </c>
      <c r="X7" s="72">
        <v>0.05</v>
      </c>
      <c r="Y7" s="73">
        <v>0.1</v>
      </c>
      <c r="Z7" s="86"/>
    </row>
    <row r="8" spans="1:36" ht="16.5" customHeight="1">
      <c r="A8" s="59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R8" s="197"/>
      <c r="S8" s="199" t="s">
        <v>164</v>
      </c>
      <c r="T8" s="200"/>
      <c r="U8" s="201"/>
      <c r="V8" s="53"/>
      <c r="W8" s="100" t="s">
        <v>163</v>
      </c>
      <c r="X8" s="77" t="s">
        <v>138</v>
      </c>
      <c r="Y8" s="107" t="s">
        <v>184</v>
      </c>
      <c r="Z8" s="86"/>
    </row>
    <row r="9" spans="1:36" ht="16.5" customHeight="1" thickBot="1">
      <c r="A9" s="59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R9" s="198"/>
      <c r="S9" s="193" t="s">
        <v>169</v>
      </c>
      <c r="T9" s="202"/>
      <c r="U9" s="202"/>
      <c r="V9" s="203"/>
      <c r="W9" s="78" t="s">
        <v>88</v>
      </c>
      <c r="X9" s="78">
        <v>0.5</v>
      </c>
      <c r="Y9" s="79">
        <v>1</v>
      </c>
      <c r="Z9" s="86"/>
    </row>
    <row r="10" spans="1:36" ht="16.5" customHeight="1" thickBot="1">
      <c r="A10" s="59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R10" s="86"/>
      <c r="S10" s="86"/>
      <c r="T10" s="86"/>
      <c r="U10" s="86"/>
      <c r="V10" s="86"/>
      <c r="W10" s="86"/>
      <c r="X10" s="86"/>
      <c r="Y10" s="86"/>
      <c r="Z10" s="86"/>
    </row>
    <row r="11" spans="1:36" ht="16.5" customHeight="1">
      <c r="A11" s="59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R11" s="196" t="s">
        <v>151</v>
      </c>
      <c r="S11" s="92" t="s">
        <v>156</v>
      </c>
      <c r="T11" s="89" t="s">
        <v>157</v>
      </c>
      <c r="U11" s="50" t="s">
        <v>158</v>
      </c>
      <c r="V11" s="93" t="s">
        <v>159</v>
      </c>
      <c r="W11" s="50" t="s">
        <v>86</v>
      </c>
      <c r="X11" s="90" t="s">
        <v>160</v>
      </c>
      <c r="Y11" s="94" t="s">
        <v>161</v>
      </c>
      <c r="Z11" s="86"/>
    </row>
    <row r="12" spans="1:36" ht="16.5" customHeight="1">
      <c r="A12" s="59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R12" s="197"/>
      <c r="S12" s="101" t="s">
        <v>139</v>
      </c>
      <c r="T12" s="71">
        <v>2500</v>
      </c>
      <c r="U12" s="71">
        <f>covt2</f>
        <v>11.4</v>
      </c>
      <c r="V12" s="80">
        <v>11.4</v>
      </c>
      <c r="W12" s="71">
        <v>100</v>
      </c>
      <c r="X12" s="71">
        <v>150</v>
      </c>
      <c r="Y12" s="73">
        <v>5</v>
      </c>
      <c r="Z12" s="86"/>
    </row>
    <row r="13" spans="1:36" ht="16.5" customHeight="1">
      <c r="A13" s="59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R13" s="197"/>
      <c r="S13" s="96" t="s">
        <v>162</v>
      </c>
      <c r="T13" s="97" t="s">
        <v>49</v>
      </c>
      <c r="U13" s="97" t="s">
        <v>87</v>
      </c>
      <c r="V13" s="97" t="s">
        <v>84</v>
      </c>
      <c r="W13" s="98" t="s">
        <v>53</v>
      </c>
      <c r="X13" s="74" t="s">
        <v>56</v>
      </c>
      <c r="Y13" s="107" t="s">
        <v>183</v>
      </c>
      <c r="Z13" s="86"/>
    </row>
    <row r="14" spans="1:36" ht="16.5" customHeight="1">
      <c r="A14" s="59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R14" s="197"/>
      <c r="S14" s="99" t="s">
        <v>69</v>
      </c>
      <c r="T14" s="71">
        <v>0.1</v>
      </c>
      <c r="U14" s="76">
        <f>_Ts2</f>
        <v>60</v>
      </c>
      <c r="V14" s="71">
        <v>60</v>
      </c>
      <c r="W14" s="71">
        <v>1500</v>
      </c>
      <c r="X14" s="80">
        <v>0.25</v>
      </c>
      <c r="Y14" s="73">
        <v>0.1</v>
      </c>
      <c r="Z14" s="86"/>
    </row>
    <row r="15" spans="1:36" ht="16.5" customHeight="1">
      <c r="A15" s="59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R15" s="197"/>
      <c r="S15" s="199" t="s">
        <v>164</v>
      </c>
      <c r="T15" s="200"/>
      <c r="U15" s="201"/>
      <c r="V15" s="53"/>
      <c r="W15" s="100" t="s">
        <v>163</v>
      </c>
      <c r="X15" s="77" t="s">
        <v>137</v>
      </c>
      <c r="Y15" s="107" t="s">
        <v>184</v>
      </c>
      <c r="Z15" s="86"/>
    </row>
    <row r="16" spans="1:36" ht="16.5" customHeight="1" thickBot="1">
      <c r="A16" s="59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R16" s="198"/>
      <c r="S16" s="193" t="s">
        <v>171</v>
      </c>
      <c r="T16" s="194"/>
      <c r="U16" s="194"/>
      <c r="V16" s="195"/>
      <c r="W16" s="78" t="s">
        <v>88</v>
      </c>
      <c r="X16" s="78">
        <v>0.7</v>
      </c>
      <c r="Y16" s="79">
        <v>1</v>
      </c>
      <c r="Z16" s="86"/>
    </row>
    <row r="17" spans="1:38" ht="16.5" customHeight="1" thickBot="1">
      <c r="A17" s="59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86"/>
      <c r="S17" s="86"/>
      <c r="T17" s="86"/>
      <c r="U17" s="86"/>
      <c r="V17" s="86"/>
      <c r="W17" s="86"/>
      <c r="X17" s="86"/>
      <c r="Y17" s="86"/>
      <c r="Z17" s="86"/>
    </row>
    <row r="18" spans="1:38" ht="16.5" customHeight="1">
      <c r="A18" s="59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196" t="s">
        <v>152</v>
      </c>
      <c r="S18" s="92" t="s">
        <v>156</v>
      </c>
      <c r="T18" s="89" t="s">
        <v>157</v>
      </c>
      <c r="U18" s="50" t="s">
        <v>158</v>
      </c>
      <c r="V18" s="93" t="s">
        <v>159</v>
      </c>
      <c r="W18" s="50" t="s">
        <v>86</v>
      </c>
      <c r="X18" s="90" t="s">
        <v>160</v>
      </c>
      <c r="Y18" s="94" t="s">
        <v>161</v>
      </c>
      <c r="Z18" s="86"/>
    </row>
    <row r="19" spans="1:38" ht="16.5" customHeight="1">
      <c r="A19" s="59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197"/>
      <c r="S19" s="95" t="s">
        <v>140</v>
      </c>
      <c r="T19" s="71">
        <v>3000</v>
      </c>
      <c r="U19" s="72">
        <f>covt3</f>
        <v>11.4</v>
      </c>
      <c r="V19" s="72">
        <v>11.4</v>
      </c>
      <c r="W19" s="71">
        <v>100</v>
      </c>
      <c r="X19" s="71">
        <v>150</v>
      </c>
      <c r="Y19" s="73">
        <v>5</v>
      </c>
      <c r="Z19" s="86"/>
    </row>
    <row r="20" spans="1:38" ht="16.5" customHeight="1">
      <c r="A20" s="59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197"/>
      <c r="S20" s="96" t="s">
        <v>162</v>
      </c>
      <c r="T20" s="97" t="s">
        <v>49</v>
      </c>
      <c r="U20" s="97" t="s">
        <v>87</v>
      </c>
      <c r="V20" s="97" t="s">
        <v>84</v>
      </c>
      <c r="W20" s="98" t="s">
        <v>53</v>
      </c>
      <c r="X20" s="74" t="s">
        <v>56</v>
      </c>
      <c r="Y20" s="107" t="s">
        <v>183</v>
      </c>
      <c r="Z20" s="86"/>
      <c r="AJ20" t="s">
        <v>69</v>
      </c>
      <c r="AL20" t="s">
        <v>168</v>
      </c>
    </row>
    <row r="21" spans="1:38" ht="16.5" customHeight="1">
      <c r="A21" s="59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197"/>
      <c r="S21" s="99" t="s">
        <v>69</v>
      </c>
      <c r="T21" s="71">
        <v>0.1</v>
      </c>
      <c r="U21" s="76">
        <f>_Ts3</f>
        <v>140</v>
      </c>
      <c r="V21" s="71">
        <v>140</v>
      </c>
      <c r="W21" s="71">
        <v>2000</v>
      </c>
      <c r="X21" s="80">
        <v>0.45</v>
      </c>
      <c r="Y21" s="73">
        <v>0.1</v>
      </c>
      <c r="Z21" s="86"/>
      <c r="AJ21" t="s">
        <v>88</v>
      </c>
      <c r="AL21" t="s">
        <v>170</v>
      </c>
    </row>
    <row r="22" spans="1:38" ht="16.5" customHeight="1">
      <c r="A22" s="59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197"/>
      <c r="S22" s="199" t="s">
        <v>164</v>
      </c>
      <c r="T22" s="200"/>
      <c r="U22" s="201"/>
      <c r="V22" s="53"/>
      <c r="W22" s="100" t="s">
        <v>163</v>
      </c>
      <c r="X22" s="77" t="s">
        <v>137</v>
      </c>
      <c r="Y22" s="107" t="s">
        <v>184</v>
      </c>
      <c r="Z22" s="86"/>
      <c r="AJ22" t="s">
        <v>89</v>
      </c>
      <c r="AL22" t="s">
        <v>172</v>
      </c>
    </row>
    <row r="23" spans="1:38" ht="16.5" customHeight="1" thickBot="1">
      <c r="A23" s="59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R23" s="198"/>
      <c r="S23" s="193" t="s">
        <v>173</v>
      </c>
      <c r="T23" s="194"/>
      <c r="U23" s="194"/>
      <c r="V23" s="195"/>
      <c r="W23" s="78" t="s">
        <v>88</v>
      </c>
      <c r="X23" s="78">
        <v>0.9</v>
      </c>
      <c r="Y23" s="79">
        <v>1</v>
      </c>
      <c r="Z23" s="86"/>
      <c r="AJ23" t="s">
        <v>90</v>
      </c>
      <c r="AL23" t="s">
        <v>174</v>
      </c>
    </row>
    <row r="24" spans="1:38" ht="16.5" customHeight="1" thickBot="1">
      <c r="A24" s="59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R24" s="86"/>
      <c r="S24" s="86"/>
      <c r="T24" s="86"/>
      <c r="U24" s="86"/>
      <c r="V24" s="86"/>
      <c r="W24" s="86"/>
      <c r="X24" s="86"/>
      <c r="Y24" s="86"/>
      <c r="Z24" s="86"/>
      <c r="AJ24" t="s">
        <v>167</v>
      </c>
      <c r="AL24" t="s">
        <v>176</v>
      </c>
    </row>
    <row r="25" spans="1:38" ht="16.5" customHeight="1">
      <c r="A25" s="59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R25" s="196" t="s">
        <v>153</v>
      </c>
      <c r="S25" s="92" t="s">
        <v>156</v>
      </c>
      <c r="T25" s="89" t="s">
        <v>157</v>
      </c>
      <c r="U25" s="50" t="s">
        <v>158</v>
      </c>
      <c r="V25" s="93" t="s">
        <v>159</v>
      </c>
      <c r="W25" s="50" t="s">
        <v>86</v>
      </c>
      <c r="X25" s="90" t="s">
        <v>160</v>
      </c>
      <c r="Y25" s="94" t="s">
        <v>161</v>
      </c>
      <c r="Z25" s="86"/>
      <c r="AJ25" t="s">
        <v>165</v>
      </c>
      <c r="AL25" t="s">
        <v>178</v>
      </c>
    </row>
    <row r="26" spans="1:38" ht="16.5" customHeight="1">
      <c r="A26" s="59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R26" s="197"/>
      <c r="S26" s="95" t="s">
        <v>141</v>
      </c>
      <c r="T26" s="71">
        <v>4000</v>
      </c>
      <c r="U26" s="72">
        <f>covt4</f>
        <v>11.4</v>
      </c>
      <c r="V26" s="72">
        <v>11.4</v>
      </c>
      <c r="W26" s="71">
        <v>100</v>
      </c>
      <c r="X26" s="71">
        <v>150</v>
      </c>
      <c r="Y26" s="73">
        <v>5</v>
      </c>
      <c r="AJ26" t="s">
        <v>166</v>
      </c>
      <c r="AL26" t="s">
        <v>180</v>
      </c>
    </row>
    <row r="27" spans="1:38" ht="16.5" customHeight="1">
      <c r="A27" s="59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R27" s="197"/>
      <c r="S27" s="96" t="s">
        <v>162</v>
      </c>
      <c r="T27" s="97" t="s">
        <v>49</v>
      </c>
      <c r="U27" s="97" t="s">
        <v>87</v>
      </c>
      <c r="V27" s="97" t="s">
        <v>84</v>
      </c>
      <c r="W27" s="98" t="s">
        <v>53</v>
      </c>
      <c r="X27" s="74" t="s">
        <v>56</v>
      </c>
      <c r="Y27" s="107" t="s">
        <v>183</v>
      </c>
    </row>
    <row r="28" spans="1:38" ht="16.5" customHeight="1">
      <c r="A28" s="59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R28" s="197"/>
      <c r="S28" s="99" t="s">
        <v>69</v>
      </c>
      <c r="T28" s="71">
        <v>0.1</v>
      </c>
      <c r="U28" s="76">
        <f>_Ts4</f>
        <v>220</v>
      </c>
      <c r="V28" s="71">
        <v>220</v>
      </c>
      <c r="W28" s="71">
        <v>2500</v>
      </c>
      <c r="X28" s="80">
        <v>0.65</v>
      </c>
      <c r="Y28" s="73">
        <v>0.1</v>
      </c>
    </row>
    <row r="29" spans="1:38" ht="16.5" customHeight="1">
      <c r="A29" s="59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R29" s="197"/>
      <c r="S29" s="199" t="s">
        <v>164</v>
      </c>
      <c r="T29" s="200"/>
      <c r="U29" s="201"/>
      <c r="V29" s="53"/>
      <c r="W29" s="100" t="s">
        <v>163</v>
      </c>
      <c r="X29" s="77" t="s">
        <v>138</v>
      </c>
      <c r="Y29" s="107" t="s">
        <v>184</v>
      </c>
    </row>
    <row r="30" spans="1:38" ht="16.5" customHeight="1" thickBot="1">
      <c r="A30" s="59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R30" s="198"/>
      <c r="S30" s="193" t="s">
        <v>175</v>
      </c>
      <c r="T30" s="194"/>
      <c r="U30" s="194"/>
      <c r="V30" s="195"/>
      <c r="W30" s="78" t="s">
        <v>88</v>
      </c>
      <c r="X30" s="78">
        <v>1.1000000000000001</v>
      </c>
      <c r="Y30" s="79">
        <v>1</v>
      </c>
    </row>
    <row r="31" spans="1:38" ht="16.5" customHeight="1" thickBot="1">
      <c r="A31" s="59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R31" s="59"/>
      <c r="S31" s="59"/>
      <c r="T31" s="59"/>
      <c r="U31" s="59"/>
      <c r="V31" s="59"/>
      <c r="W31" s="59"/>
      <c r="X31" s="59"/>
      <c r="Y31" s="59"/>
    </row>
    <row r="32" spans="1:38" ht="16.5" customHeight="1">
      <c r="A32" s="59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R32" s="196" t="s">
        <v>154</v>
      </c>
      <c r="S32" s="92" t="s">
        <v>156</v>
      </c>
      <c r="T32" s="89" t="s">
        <v>157</v>
      </c>
      <c r="U32" s="50" t="s">
        <v>158</v>
      </c>
      <c r="V32" s="93" t="s">
        <v>159</v>
      </c>
      <c r="W32" s="50" t="s">
        <v>86</v>
      </c>
      <c r="X32" s="90" t="s">
        <v>160</v>
      </c>
      <c r="Y32" s="94" t="s">
        <v>161</v>
      </c>
    </row>
    <row r="33" spans="1:25" ht="16.5" customHeight="1">
      <c r="A33" s="59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R33" s="197"/>
      <c r="S33" s="95" t="s">
        <v>142</v>
      </c>
      <c r="T33" s="71">
        <v>4500</v>
      </c>
      <c r="U33" s="72">
        <f>covt5</f>
        <v>11.4</v>
      </c>
      <c r="V33" s="72">
        <v>11.4</v>
      </c>
      <c r="W33" s="71">
        <v>100</v>
      </c>
      <c r="X33" s="71">
        <v>150</v>
      </c>
      <c r="Y33" s="73">
        <v>5</v>
      </c>
    </row>
    <row r="34" spans="1:25" ht="16.5" customHeight="1">
      <c r="A34" s="59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R34" s="197"/>
      <c r="S34" s="96" t="s">
        <v>162</v>
      </c>
      <c r="T34" s="97" t="s">
        <v>49</v>
      </c>
      <c r="U34" s="97" t="s">
        <v>87</v>
      </c>
      <c r="V34" s="97" t="s">
        <v>84</v>
      </c>
      <c r="W34" s="98" t="s">
        <v>53</v>
      </c>
      <c r="X34" s="74" t="s">
        <v>56</v>
      </c>
      <c r="Y34" s="107" t="s">
        <v>183</v>
      </c>
    </row>
    <row r="35" spans="1:25" ht="16.5" customHeight="1">
      <c r="A35" s="59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R35" s="197"/>
      <c r="S35" s="99" t="s">
        <v>69</v>
      </c>
      <c r="T35" s="71">
        <v>0.1</v>
      </c>
      <c r="U35" s="76">
        <f>_Ts5</f>
        <v>380</v>
      </c>
      <c r="V35" s="71">
        <v>380</v>
      </c>
      <c r="W35" s="71">
        <v>3000</v>
      </c>
      <c r="X35" s="80">
        <v>0.85</v>
      </c>
      <c r="Y35" s="73">
        <v>0.1</v>
      </c>
    </row>
    <row r="36" spans="1:25" ht="16.5" customHeight="1">
      <c r="A36" s="59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R36" s="197"/>
      <c r="S36" s="199" t="s">
        <v>164</v>
      </c>
      <c r="T36" s="200"/>
      <c r="U36" s="201"/>
      <c r="V36" s="53"/>
      <c r="W36" s="100" t="s">
        <v>163</v>
      </c>
      <c r="X36" s="77" t="s">
        <v>138</v>
      </c>
      <c r="Y36" s="107" t="s">
        <v>184</v>
      </c>
    </row>
    <row r="37" spans="1:25" ht="16.5" customHeight="1" thickBot="1">
      <c r="A37" s="59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R37" s="198"/>
      <c r="S37" s="193" t="s">
        <v>177</v>
      </c>
      <c r="T37" s="194"/>
      <c r="U37" s="194"/>
      <c r="V37" s="195"/>
      <c r="W37" s="78" t="s">
        <v>88</v>
      </c>
      <c r="X37" s="78">
        <v>1.3</v>
      </c>
      <c r="Y37" s="79">
        <v>1</v>
      </c>
    </row>
    <row r="38" spans="1:25" ht="16.5" customHeight="1" thickBot="1">
      <c r="A38" s="59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R38" s="59"/>
      <c r="S38" s="59"/>
      <c r="T38" s="59"/>
      <c r="U38" s="59"/>
      <c r="V38" s="59"/>
      <c r="W38" s="59"/>
      <c r="X38" s="59"/>
      <c r="Y38" s="59"/>
    </row>
    <row r="39" spans="1:25" ht="16.5" customHeight="1">
      <c r="A39" s="59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R39" s="196" t="s">
        <v>155</v>
      </c>
      <c r="S39" s="92" t="s">
        <v>156</v>
      </c>
      <c r="T39" s="89" t="s">
        <v>157</v>
      </c>
      <c r="U39" s="50" t="s">
        <v>158</v>
      </c>
      <c r="V39" s="93" t="s">
        <v>159</v>
      </c>
      <c r="W39" s="50" t="s">
        <v>86</v>
      </c>
      <c r="X39" s="90" t="s">
        <v>160</v>
      </c>
      <c r="Y39" s="94" t="s">
        <v>161</v>
      </c>
    </row>
    <row r="40" spans="1:25" ht="16.5" customHeight="1">
      <c r="A40" s="59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R40" s="197"/>
      <c r="S40" s="95" t="s">
        <v>143</v>
      </c>
      <c r="T40" s="71">
        <v>6000</v>
      </c>
      <c r="U40" s="72">
        <f>covt6</f>
        <v>11.4</v>
      </c>
      <c r="V40" s="72">
        <v>11.4</v>
      </c>
      <c r="W40" s="71">
        <v>100</v>
      </c>
      <c r="X40" s="71">
        <v>150</v>
      </c>
      <c r="Y40" s="73">
        <v>5</v>
      </c>
    </row>
    <row r="41" spans="1:25" ht="16.5" customHeight="1">
      <c r="A41" s="59"/>
      <c r="B41" s="60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49"/>
      <c r="R41" s="197"/>
      <c r="S41" s="96" t="s">
        <v>162</v>
      </c>
      <c r="T41" s="97" t="s">
        <v>49</v>
      </c>
      <c r="U41" s="97" t="s">
        <v>87</v>
      </c>
      <c r="V41" s="97" t="s">
        <v>84</v>
      </c>
      <c r="W41" s="98" t="s">
        <v>53</v>
      </c>
      <c r="X41" s="74" t="s">
        <v>56</v>
      </c>
      <c r="Y41" s="107" t="s">
        <v>183</v>
      </c>
    </row>
    <row r="42" spans="1:25" ht="16.5" customHeight="1">
      <c r="A42" s="59"/>
      <c r="B42" s="60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49"/>
      <c r="R42" s="197"/>
      <c r="S42" s="99" t="s">
        <v>69</v>
      </c>
      <c r="T42" s="71">
        <v>0.1</v>
      </c>
      <c r="U42" s="76">
        <f>_Ts6</f>
        <v>500</v>
      </c>
      <c r="V42" s="71">
        <v>500</v>
      </c>
      <c r="W42" s="71">
        <v>5000</v>
      </c>
      <c r="X42" s="80">
        <v>1.05</v>
      </c>
      <c r="Y42" s="73">
        <v>0.2</v>
      </c>
    </row>
    <row r="43" spans="1:25" ht="16.5" customHeight="1">
      <c r="A43" s="59"/>
      <c r="B43" s="60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49"/>
      <c r="R43" s="197"/>
      <c r="S43" s="199" t="s">
        <v>164</v>
      </c>
      <c r="T43" s="200"/>
      <c r="U43" s="201"/>
      <c r="V43" s="53"/>
      <c r="W43" s="100" t="s">
        <v>163</v>
      </c>
      <c r="X43" s="106" t="s">
        <v>137</v>
      </c>
      <c r="Y43" s="107" t="s">
        <v>184</v>
      </c>
    </row>
    <row r="44" spans="1:25" ht="16.5" customHeight="1" thickBot="1">
      <c r="A44" s="59"/>
      <c r="B44" s="60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49"/>
      <c r="R44" s="198"/>
      <c r="S44" s="193" t="s">
        <v>179</v>
      </c>
      <c r="T44" s="194"/>
      <c r="U44" s="194"/>
      <c r="V44" s="195"/>
      <c r="W44" s="78" t="s">
        <v>88</v>
      </c>
      <c r="X44" s="78">
        <v>1.6</v>
      </c>
      <c r="Y44" s="79">
        <v>2</v>
      </c>
    </row>
    <row r="45" spans="1:25" ht="16.5" customHeight="1">
      <c r="A45" s="59"/>
      <c r="B45" s="60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49"/>
    </row>
    <row r="46" spans="1:25" ht="16.5" customHeight="1">
      <c r="A46" s="59"/>
      <c r="B46" s="60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49"/>
      <c r="R46" s="59"/>
      <c r="S46" s="58"/>
      <c r="T46" s="58"/>
      <c r="U46" s="58"/>
      <c r="V46" s="58"/>
      <c r="W46" s="58"/>
      <c r="X46" s="58"/>
      <c r="Y46" s="91"/>
    </row>
    <row r="47" spans="1:25" ht="60.75" customHeight="1">
      <c r="A47" s="59"/>
      <c r="B47" s="60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49"/>
      <c r="R47" s="59"/>
      <c r="S47" s="59"/>
      <c r="T47" s="59"/>
      <c r="U47" s="59"/>
      <c r="V47" s="59"/>
      <c r="W47" s="59"/>
      <c r="X47" s="59"/>
      <c r="Y47" s="59"/>
    </row>
    <row r="48" spans="1:25" ht="16.5" customHeight="1">
      <c r="A48" s="59"/>
      <c r="B48" s="60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49"/>
      <c r="R48" s="59"/>
      <c r="S48" s="59"/>
      <c r="T48" s="59"/>
      <c r="U48" s="59"/>
      <c r="V48" s="59"/>
      <c r="W48" s="59"/>
      <c r="X48" s="59"/>
      <c r="Y48" s="59"/>
    </row>
    <row r="49" spans="1:25" ht="16.5" customHeight="1">
      <c r="A49" s="59"/>
      <c r="B49" s="60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49"/>
      <c r="R49" s="59"/>
      <c r="S49" s="59"/>
      <c r="T49" s="59"/>
      <c r="U49" s="59"/>
      <c r="V49" s="59"/>
      <c r="W49" s="59"/>
      <c r="X49" s="59"/>
      <c r="Y49" s="59"/>
    </row>
    <row r="50" spans="1:25" ht="16.5" customHeight="1">
      <c r="A50" s="59"/>
      <c r="B50" s="60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49"/>
      <c r="R50" s="59"/>
      <c r="S50" s="59"/>
      <c r="T50" s="59"/>
      <c r="U50" s="59"/>
      <c r="V50" s="59"/>
      <c r="W50" s="59"/>
      <c r="X50" s="59"/>
      <c r="Y50" s="59"/>
    </row>
    <row r="51" spans="1:25" ht="16.5" customHeight="1">
      <c r="A51" s="59"/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49"/>
      <c r="R51" s="59"/>
      <c r="S51" s="59"/>
      <c r="T51" s="59"/>
      <c r="U51" s="59"/>
      <c r="V51" s="59"/>
      <c r="W51" s="59"/>
      <c r="X51" s="59"/>
      <c r="Y51" s="59"/>
    </row>
    <row r="52" spans="1:25" ht="16.5" customHeight="1">
      <c r="A52" s="59"/>
      <c r="B52" s="60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49"/>
      <c r="R52" s="59"/>
      <c r="S52" s="59"/>
      <c r="T52" s="59"/>
      <c r="U52" s="59"/>
      <c r="V52" s="59"/>
      <c r="W52" s="59"/>
      <c r="X52" s="59"/>
      <c r="Y52" s="59"/>
    </row>
    <row r="53" spans="1:25" ht="16.5" customHeight="1">
      <c r="A53" s="59"/>
      <c r="B53" s="60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49"/>
      <c r="R53" s="59"/>
      <c r="S53" s="58"/>
      <c r="T53" s="58"/>
      <c r="U53" s="58"/>
      <c r="V53" s="58"/>
      <c r="W53" s="58"/>
      <c r="X53" s="58"/>
      <c r="Y53" s="91"/>
    </row>
    <row r="54" spans="1:25" ht="16.5" customHeight="1">
      <c r="A54" s="59"/>
      <c r="B54" s="60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49"/>
      <c r="R54" s="59"/>
      <c r="S54" s="59"/>
      <c r="T54" s="59"/>
      <c r="U54" s="59"/>
      <c r="V54" s="59"/>
      <c r="W54" s="59"/>
      <c r="X54" s="59"/>
      <c r="Y54" s="59"/>
    </row>
    <row r="55" spans="1:25" ht="16.5" customHeight="1">
      <c r="A55" s="59"/>
      <c r="B55" s="60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49"/>
      <c r="R55" s="59"/>
      <c r="S55" s="59"/>
      <c r="T55" s="59"/>
      <c r="U55" s="59"/>
      <c r="V55" s="59"/>
      <c r="W55" s="59"/>
      <c r="X55" s="59"/>
      <c r="Y55" s="59"/>
    </row>
    <row r="56" spans="1:25" ht="16.5" customHeight="1">
      <c r="A56" s="59"/>
      <c r="B56" s="60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49"/>
      <c r="R56" s="59"/>
      <c r="S56" s="59"/>
      <c r="T56" s="59"/>
      <c r="U56" s="59"/>
      <c r="V56" s="59"/>
      <c r="W56" s="59"/>
      <c r="X56" s="59"/>
      <c r="Y56" s="59"/>
    </row>
    <row r="57" spans="1:25" ht="16.5" customHeight="1">
      <c r="A57" s="59"/>
      <c r="B57" s="60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49"/>
      <c r="R57" s="59"/>
      <c r="S57" s="59"/>
      <c r="T57" s="59"/>
      <c r="U57" s="59"/>
      <c r="V57" s="59"/>
      <c r="W57" s="59"/>
      <c r="X57" s="59"/>
      <c r="Y57" s="59"/>
    </row>
    <row r="58" spans="1:25" ht="16.5" customHeight="1">
      <c r="A58" s="59"/>
      <c r="B58" s="60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49"/>
      <c r="R58" s="59"/>
      <c r="S58" s="59"/>
      <c r="T58" s="59"/>
      <c r="U58" s="59"/>
      <c r="V58" s="59"/>
      <c r="W58" s="59"/>
      <c r="X58" s="59"/>
      <c r="Y58" s="59"/>
    </row>
    <row r="59" spans="1:25" ht="16.5" customHeight="1">
      <c r="A59" s="59"/>
      <c r="B59" s="60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49"/>
      <c r="R59" s="59"/>
      <c r="S59" s="59"/>
      <c r="T59" s="59"/>
      <c r="U59" s="59"/>
      <c r="V59" s="59"/>
      <c r="W59" s="59"/>
      <c r="X59" s="59"/>
      <c r="Y59" s="59"/>
    </row>
    <row r="60" spans="1:25" ht="16.5" customHeight="1">
      <c r="A60" s="59"/>
      <c r="B60" s="60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49"/>
      <c r="R60" s="59"/>
      <c r="S60" s="58"/>
      <c r="T60" s="58"/>
      <c r="U60" s="58"/>
      <c r="V60" s="58"/>
      <c r="W60" s="58"/>
      <c r="X60" s="58"/>
      <c r="Y60" s="91"/>
    </row>
    <row r="61" spans="1:25" ht="16.5" customHeight="1" thickBot="1">
      <c r="A61" s="59"/>
      <c r="B61" s="61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3"/>
      <c r="R61" s="59"/>
      <c r="S61" s="59"/>
      <c r="T61" s="59"/>
      <c r="U61" s="59"/>
      <c r="V61" s="59"/>
      <c r="W61" s="59"/>
      <c r="X61" s="59"/>
      <c r="Y61" s="59"/>
    </row>
    <row r="62" spans="1:25" ht="16.5" customHeight="1">
      <c r="B62" s="222" t="s">
        <v>148</v>
      </c>
      <c r="C62" s="224" t="s">
        <v>145</v>
      </c>
      <c r="D62" s="225"/>
      <c r="E62" s="226" t="str">
        <f>IF(coname1=" "," ",coname1)</f>
        <v>6kvC1变馈线</v>
      </c>
      <c r="F62" s="238"/>
      <c r="G62" s="226" t="str">
        <f>IF(coname2=" "," ",coname2)</f>
        <v>6kvC1变母联</v>
      </c>
      <c r="H62" s="238"/>
      <c r="I62" s="226" t="str">
        <f>IF(coname3=" "," ",coname3)</f>
        <v>6kvC1变进线</v>
      </c>
      <c r="J62" s="238"/>
      <c r="K62" s="226" t="str">
        <f>IF(coname4=" "," ",coname4)</f>
        <v>20Kv馈线</v>
      </c>
      <c r="L62" s="238"/>
      <c r="M62" s="226" t="str">
        <f>IF(coname5=" "," ",coname5)</f>
        <v>20Kv母联</v>
      </c>
      <c r="N62" s="238"/>
      <c r="O62" s="226" t="str">
        <f>IF(coname6=" "," ",coname6)</f>
        <v>20Kv进线</v>
      </c>
      <c r="P62" s="228"/>
      <c r="R62" s="59"/>
      <c r="S62" s="59"/>
      <c r="T62" s="59"/>
      <c r="U62" s="59"/>
      <c r="V62" s="59"/>
      <c r="W62" s="59"/>
      <c r="X62" s="59"/>
      <c r="Y62" s="59"/>
    </row>
    <row r="63" spans="1:25" ht="16.5" customHeight="1">
      <c r="B63" s="222"/>
      <c r="C63" s="229" t="s">
        <v>146</v>
      </c>
      <c r="D63" s="207"/>
      <c r="E63" s="230" t="str">
        <f>IF(coname1=" "," ",S9)</f>
        <v>SEPAM S20</v>
      </c>
      <c r="F63" s="231"/>
      <c r="G63" s="230" t="str">
        <f>IF(coname2=" "," ",S16)</f>
        <v>SEPAM S40</v>
      </c>
      <c r="H63" s="231"/>
      <c r="I63" s="230" t="str">
        <f>IF(coname3=" "," ",S23)</f>
        <v>SEPAM S80</v>
      </c>
      <c r="J63" s="231"/>
      <c r="K63" s="230" t="str">
        <f>IF(coname4=" "," ",S30)</f>
        <v>SEPAM G40</v>
      </c>
      <c r="L63" s="231"/>
      <c r="M63" s="230" t="str">
        <f>IF(coname5=" "," ",S37)</f>
        <v>SEPAM T87</v>
      </c>
      <c r="N63" s="231"/>
      <c r="O63" s="230" t="str">
        <f>IF(coname6=" "," ",S44)</f>
        <v>SEPAM M87</v>
      </c>
      <c r="P63" s="232"/>
    </row>
    <row r="64" spans="1:25" ht="16.5" customHeight="1">
      <c r="B64" s="222"/>
      <c r="C64" s="229" t="s">
        <v>147</v>
      </c>
      <c r="D64" s="207"/>
      <c r="E64" s="204" t="str">
        <f>IF(coname1=" "," ",CONCATENATE(cokva1,"KVA"))</f>
        <v>2000KVA</v>
      </c>
      <c r="F64" s="112"/>
      <c r="G64" s="204" t="str">
        <f>IF(coname2=" "," ",CONCATENATE(cokva2,"KVA"))</f>
        <v>2500KVA</v>
      </c>
      <c r="H64" s="112"/>
      <c r="I64" s="204" t="str">
        <f>IF(coname3=" "," ",CONCATENATE(cokva3,"KVA"))</f>
        <v>3000KVA</v>
      </c>
      <c r="J64" s="112"/>
      <c r="K64" s="204" t="str">
        <f>IF(coname4=" "," ",CONCATENATE(cokva4,"KVA"))</f>
        <v>4000KVA</v>
      </c>
      <c r="L64" s="112"/>
      <c r="M64" s="204" t="str">
        <f>IF(coname5=" "," ",CONCATENATE(cokva5,"KVA"))</f>
        <v>4500KVA</v>
      </c>
      <c r="N64" s="112"/>
      <c r="O64" s="204" t="str">
        <f>IF(coname6=" "," ",CONCATENATE(cokva6,"KVA"))</f>
        <v>6000KVA</v>
      </c>
      <c r="P64" s="205"/>
    </row>
    <row r="65" spans="2:25" ht="16.5" customHeight="1">
      <c r="B65" s="222"/>
      <c r="C65" s="206" t="s">
        <v>42</v>
      </c>
      <c r="D65" s="207"/>
      <c r="E65" s="204" t="str">
        <f>IF(coname1=" "," ",CONCATENATE(一次側1,"A"))</f>
        <v>150A</v>
      </c>
      <c r="F65" s="112"/>
      <c r="G65" s="204" t="str">
        <f>IF(coname2=" "," ",CONCATENATE(一次側2,"A"))</f>
        <v>150A</v>
      </c>
      <c r="H65" s="112"/>
      <c r="I65" s="204" t="str">
        <f>IF(coname3=" "," ",CONCATENATE(一次側3,"A"))</f>
        <v>150A</v>
      </c>
      <c r="J65" s="112"/>
      <c r="K65" s="204" t="str">
        <f>IF(coname4=" "," ",CONCATENATE(一次側4,"A"))</f>
        <v>150A</v>
      </c>
      <c r="L65" s="112"/>
      <c r="M65" s="204" t="str">
        <f>IF(coname5=" "," ",CONCATENATE(一次側5,"A"))</f>
        <v>150A</v>
      </c>
      <c r="N65" s="112"/>
      <c r="O65" s="204" t="str">
        <f>IF(coname6=" "," ",CONCATENATE(一次側6,"A"))</f>
        <v>150A</v>
      </c>
      <c r="P65" s="205"/>
      <c r="Q65" s="81"/>
      <c r="R65" s="59"/>
    </row>
    <row r="66" spans="2:25" ht="16.5" customHeight="1">
      <c r="B66" s="222"/>
      <c r="C66" s="206" t="s">
        <v>84</v>
      </c>
      <c r="D66" s="207"/>
      <c r="E66" s="204" t="str">
        <f>IF(coname1=" "," ",CONCATENATE(Isone,"A"))</f>
        <v>32A</v>
      </c>
      <c r="F66" s="112"/>
      <c r="G66" s="204" t="str">
        <f>IF(coname2=" "," ",CONCATENATE(Istwo,"A"))</f>
        <v>60A</v>
      </c>
      <c r="H66" s="112"/>
      <c r="I66" s="204" t="str">
        <f>IF(coname3=" "," ",CONCATENATE(Isthree,"A"))</f>
        <v>140A</v>
      </c>
      <c r="J66" s="112"/>
      <c r="K66" s="204" t="str">
        <f>IF(coname4=" "," ",CONCATENATE(Isfour,"A"))</f>
        <v>220A</v>
      </c>
      <c r="L66" s="112"/>
      <c r="M66" s="204" t="str">
        <f>IF(coname5=" "," ",CONCATENATE(Isfive,"A"))</f>
        <v>380A</v>
      </c>
      <c r="N66" s="112"/>
      <c r="O66" s="204" t="str">
        <f>IF(coname6=" "," ",CONCATENATE(Issix,"A"))</f>
        <v>500A</v>
      </c>
      <c r="P66" s="205"/>
    </row>
    <row r="67" spans="2:25" ht="16.5" customHeight="1">
      <c r="B67" s="222"/>
      <c r="C67" s="206" t="s">
        <v>53</v>
      </c>
      <c r="D67" s="207"/>
      <c r="E67" s="204" t="str">
        <f>IF(coname1=" "," ",CONCATENATE(CO表單!F15,"A"))</f>
        <v>1050A</v>
      </c>
      <c r="F67" s="112"/>
      <c r="G67" s="204" t="str">
        <f>IF(coname2=" "," ",CONCATENATE(CO表單!F59,"A"))</f>
        <v>1500A</v>
      </c>
      <c r="H67" s="112"/>
      <c r="I67" s="204" t="str">
        <f>IF(coname3=" "," ",CONCATENATE(CO表單!F103,"A"))</f>
        <v>2000A</v>
      </c>
      <c r="J67" s="112"/>
      <c r="K67" s="204" t="str">
        <f>IF(coname4=" "," ",CONCATENATE(CO表單!F147,"A"))</f>
        <v>2500A</v>
      </c>
      <c r="L67" s="112"/>
      <c r="M67" s="204" t="str">
        <f>IF(coname5=" "," ",CONCATENATE(CO表單!F191,"A"))</f>
        <v>3000A</v>
      </c>
      <c r="N67" s="112"/>
      <c r="O67" s="204" t="str">
        <f>IF(coname6=" "," ",CONCATENATE(CO表單!F235,"A"))</f>
        <v>5000A</v>
      </c>
      <c r="P67" s="205"/>
      <c r="S67" s="14"/>
      <c r="T67" s="14"/>
      <c r="U67" s="14"/>
      <c r="V67" s="14"/>
      <c r="W67" s="51"/>
      <c r="X67" s="52"/>
      <c r="Y67" s="52"/>
    </row>
    <row r="68" spans="2:25" ht="16.5" customHeight="1">
      <c r="B68" s="222"/>
      <c r="C68" s="206" t="s">
        <v>85</v>
      </c>
      <c r="D68" s="207"/>
      <c r="E68" s="204" t="str">
        <f>IF(coname1=" "," ",CO表單!E17)</f>
        <v>150/5</v>
      </c>
      <c r="F68" s="112"/>
      <c r="G68" s="204" t="str">
        <f>IF(coname2=" "," ",CO表單!E61)</f>
        <v>150/5</v>
      </c>
      <c r="H68" s="112"/>
      <c r="I68" s="204" t="str">
        <f>IF(coname3=" "," ",CO表單!E105)</f>
        <v>150/5</v>
      </c>
      <c r="J68" s="112"/>
      <c r="K68" s="204" t="str">
        <f>IF(coname4=" "," ",CO表單!E149)</f>
        <v>150/5</v>
      </c>
      <c r="L68" s="112"/>
      <c r="M68" s="204" t="str">
        <f>IF(coname5=" "," ",CO表單!E193)</f>
        <v>150/5</v>
      </c>
      <c r="N68" s="112"/>
      <c r="O68" s="204" t="str">
        <f>IF(coname6=" "," ",CO表單!E237)</f>
        <v>150/5</v>
      </c>
      <c r="P68" s="205"/>
      <c r="X68" s="52"/>
      <c r="Y68" s="52"/>
    </row>
    <row r="69" spans="2:25" ht="16.5" customHeight="1" thickBot="1">
      <c r="B69" s="233"/>
      <c r="C69" s="216" t="s">
        <v>49</v>
      </c>
      <c r="D69" s="217"/>
      <c r="E69" s="204" t="str">
        <f>IF(coname1=" "," ",CONCATENATE(Lever1,"s","(",S7,")"))</f>
        <v>0.1s(SIT)</v>
      </c>
      <c r="F69" s="112"/>
      <c r="G69" s="204" t="str">
        <f>IF(coname2=" "," ",CONCATENATE(Lever2,"s","(",S14,")"))</f>
        <v>0.1s(EIT)</v>
      </c>
      <c r="H69" s="112"/>
      <c r="I69" s="204" t="str">
        <f>IF(coname3=" "," ",CONCATENATE(Lever3,"s","(",S21,")"))</f>
        <v>0.1s(EIT)</v>
      </c>
      <c r="J69" s="112"/>
      <c r="K69" s="204" t="str">
        <f>IF(coname4=" "," ",CONCATENATE(Lever4,"s","(",S28,")"))</f>
        <v>0.1s(EIT)</v>
      </c>
      <c r="L69" s="112"/>
      <c r="M69" s="204" t="str">
        <f>IF(coname5=" "," ",CONCATENATE(Lever5,"s","(",S35,")"))</f>
        <v>0.1s(EIT)</v>
      </c>
      <c r="N69" s="112"/>
      <c r="O69" s="204" t="str">
        <f>IF(coname6=" "," ",CONCATENATE(Lever6,"s","(",S42,")"))</f>
        <v>0.1s(EIT)</v>
      </c>
      <c r="P69" s="205"/>
      <c r="Q69" s="81"/>
      <c r="R69" s="59"/>
      <c r="X69" s="52"/>
      <c r="Y69" s="52"/>
    </row>
    <row r="70" spans="2:25" ht="16.5" customHeight="1">
      <c r="B70" s="221"/>
      <c r="C70" s="234"/>
      <c r="D70" s="235"/>
      <c r="E70" s="226"/>
      <c r="F70" s="227"/>
      <c r="G70" s="226"/>
      <c r="H70" s="227"/>
      <c r="I70" s="226"/>
      <c r="J70" s="227"/>
      <c r="K70" s="226"/>
      <c r="L70" s="227"/>
      <c r="M70" s="226"/>
      <c r="N70" s="227"/>
      <c r="O70" s="226"/>
      <c r="P70" s="228"/>
      <c r="X70" s="52"/>
      <c r="Y70" s="52"/>
    </row>
    <row r="71" spans="2:25" ht="16.5" customHeight="1">
      <c r="B71" s="222"/>
      <c r="C71" s="206"/>
      <c r="D71" s="207"/>
      <c r="E71" s="204"/>
      <c r="F71" s="112"/>
      <c r="G71" s="204"/>
      <c r="H71" s="112"/>
      <c r="I71" s="204"/>
      <c r="J71" s="112"/>
      <c r="K71" s="204"/>
      <c r="L71" s="112"/>
      <c r="M71" s="204"/>
      <c r="N71" s="112"/>
      <c r="O71" s="204"/>
      <c r="P71" s="205"/>
      <c r="X71" s="52"/>
      <c r="Y71" s="52"/>
    </row>
    <row r="72" spans="2:25" ht="16.5" customHeight="1" thickBot="1">
      <c r="B72" s="233"/>
      <c r="C72" s="216"/>
      <c r="D72" s="217"/>
      <c r="E72" s="204"/>
      <c r="F72" s="112"/>
      <c r="G72" s="204"/>
      <c r="H72" s="112"/>
      <c r="I72" s="204"/>
      <c r="J72" s="112"/>
      <c r="K72" s="204"/>
      <c r="L72" s="112"/>
      <c r="M72" s="204"/>
      <c r="N72" s="112"/>
      <c r="O72" s="204"/>
      <c r="P72" s="205"/>
      <c r="X72" s="52"/>
      <c r="Y72" s="52"/>
    </row>
    <row r="73" spans="2:25" ht="16.5" customHeight="1">
      <c r="B73" s="221" t="s">
        <v>149</v>
      </c>
      <c r="C73" s="224" t="s">
        <v>145</v>
      </c>
      <c r="D73" s="225"/>
      <c r="E73" s="226" t="str">
        <f>IF(S8="是，LCO绘图",CONCATENATE("Lco-",coname1)," ")</f>
        <v>Lco-6kvC1变馈线</v>
      </c>
      <c r="F73" s="227"/>
      <c r="G73" s="226" t="str">
        <f>IF(S15="是，LCO绘图",CONCATENATE("Lco-",coname2)," ")</f>
        <v>Lco-6kvC1变母联</v>
      </c>
      <c r="H73" s="227"/>
      <c r="I73" s="226" t="str">
        <f>IF(S22="是，LCO绘图",CONCATENATE("Lco-",coname3)," ")</f>
        <v>Lco-6kvC1变进线</v>
      </c>
      <c r="J73" s="227"/>
      <c r="K73" s="226" t="str">
        <f>IF(S29="是，LCO绘图",CONCATENATE("Lco-",coname4)," ")</f>
        <v>Lco-20Kv馈线</v>
      </c>
      <c r="L73" s="227"/>
      <c r="M73" s="226" t="str">
        <f>IF(S36="是，LCO绘图",CONCATENATE("Lco-",coname5)," ")</f>
        <v>Lco-20Kv母联</v>
      </c>
      <c r="N73" s="227"/>
      <c r="O73" s="226" t="str">
        <f>IF(S43="是，LCO绘图",CONCATENATE("Lco-",coname6)," ")</f>
        <v>Lco-20Kv进线</v>
      </c>
      <c r="P73" s="228"/>
      <c r="X73" s="52"/>
      <c r="Y73" s="52"/>
    </row>
    <row r="74" spans="2:25" ht="16.5" customHeight="1">
      <c r="B74" s="222"/>
      <c r="C74" s="229" t="s">
        <v>146</v>
      </c>
      <c r="D74" s="207"/>
      <c r="E74" s="230" t="str">
        <f>IF(S8="是，LCO绘图",E63," ")</f>
        <v>SEPAM S20</v>
      </c>
      <c r="F74" s="231"/>
      <c r="G74" s="230" t="str">
        <f>IF(S15="是，LCO绘图",G63," ")</f>
        <v>SEPAM S40</v>
      </c>
      <c r="H74" s="231"/>
      <c r="I74" s="230" t="str">
        <f>IF(S22="是，LCO绘图",I63," ")</f>
        <v>SEPAM S80</v>
      </c>
      <c r="J74" s="231"/>
      <c r="K74" s="230" t="str">
        <f>IF(S29="是，LCO绘图",K63," ")</f>
        <v>SEPAM G40</v>
      </c>
      <c r="L74" s="231"/>
      <c r="M74" s="230" t="str">
        <f>IF(S36="是，LCO绘图",M63," ")</f>
        <v>SEPAM T87</v>
      </c>
      <c r="N74" s="231"/>
      <c r="O74" s="230" t="str">
        <f>IF(S43="是，LCO绘图",O63," ")</f>
        <v>SEPAM M87</v>
      </c>
      <c r="P74" s="232"/>
      <c r="X74" s="52"/>
      <c r="Y74" s="52"/>
    </row>
    <row r="75" spans="2:25" ht="16.5" customHeight="1">
      <c r="B75" s="222"/>
      <c r="C75" s="206" t="s">
        <v>91</v>
      </c>
      <c r="D75" s="207"/>
      <c r="E75" s="204" t="str">
        <f>IF(S8="是，LCO绘图",CONCATENATE(一次側1,"A")," ")</f>
        <v>150A</v>
      </c>
      <c r="F75" s="112"/>
      <c r="G75" s="204" t="str">
        <f>IF(S15="是，LCO绘图",CONCATENATE(一次側2,"A")," ")</f>
        <v>150A</v>
      </c>
      <c r="H75" s="112"/>
      <c r="I75" s="204" t="str">
        <f>IF(S22="是，LCO绘图",CONCATENATE(一次側3,"A")," ")</f>
        <v>150A</v>
      </c>
      <c r="J75" s="112"/>
      <c r="K75" s="204" t="str">
        <f>IF(S29="是，LCO绘图",CONCATENATE(一次側4,"A")," ")</f>
        <v>150A</v>
      </c>
      <c r="L75" s="112"/>
      <c r="M75" s="204" t="str">
        <f>IF(S36="是，LCO绘图",CONCATENATE(一次側5,"A")," ")</f>
        <v>150A</v>
      </c>
      <c r="N75" s="112"/>
      <c r="O75" s="204" t="str">
        <f>IF(S43="是，LCO绘图",CONCATENATE(一次側6,"A")," ")</f>
        <v>150A</v>
      </c>
      <c r="P75" s="205"/>
      <c r="X75" s="52"/>
      <c r="Y75" s="52"/>
    </row>
    <row r="76" spans="2:25" ht="16.5" customHeight="1">
      <c r="B76" s="222"/>
      <c r="C76" s="206" t="s">
        <v>92</v>
      </c>
      <c r="D76" s="207"/>
      <c r="E76" s="204" t="str">
        <f>IF(S8="是，LCO绘图",CONCATENATE(Is0one,"A")," ")</f>
        <v>15A</v>
      </c>
      <c r="F76" s="112"/>
      <c r="G76" s="204" t="str">
        <f>IF(S15="是，LCO绘图",CONCATENATE(Is0two,"A")," ")</f>
        <v>15A</v>
      </c>
      <c r="H76" s="112"/>
      <c r="I76" s="204" t="str">
        <f>IF(S22="是，LCO绘图",CONCATENATE(Is0three,"A")," ")</f>
        <v>15A</v>
      </c>
      <c r="J76" s="112"/>
      <c r="K76" s="204" t="str">
        <f>IF(S29="是，LCO绘图",CONCATENATE(Is0four,"A")," ")</f>
        <v>15A</v>
      </c>
      <c r="L76" s="112"/>
      <c r="M76" s="204" t="str">
        <f>IF(S36="是，LCO绘图",CONCATENATE(Is0five,"A")," ")</f>
        <v>15A</v>
      </c>
      <c r="N76" s="112"/>
      <c r="O76" s="204" t="str">
        <f>IF(S43="是，LCO绘图",CONCATENATE(Is0six,"A")," ")</f>
        <v>30A</v>
      </c>
      <c r="P76" s="205"/>
      <c r="X76" s="52"/>
      <c r="Y76" s="52"/>
    </row>
    <row r="77" spans="2:25" ht="16.5" customHeight="1">
      <c r="B77" s="222"/>
      <c r="C77" s="206" t="s">
        <v>93</v>
      </c>
      <c r="D77" s="207"/>
      <c r="E77" s="204" t="str">
        <f>IF(S8="是，LCO绘图",CONCATENATE(Lco瞬跳電流1,"A")," ")</f>
        <v>150A</v>
      </c>
      <c r="F77" s="112"/>
      <c r="G77" s="204" t="str">
        <f>IF(S15="是，LCO绘图",CONCATENATE(Lco瞬跳電流2,"A")," ")</f>
        <v>150A</v>
      </c>
      <c r="H77" s="112"/>
      <c r="I77" s="204" t="str">
        <f>IF(S22="是，LCO绘图",CONCATENATE(Lco瞬跳電流3,"A")," ")</f>
        <v>150A</v>
      </c>
      <c r="J77" s="112"/>
      <c r="K77" s="204" t="str">
        <f>IF(S29="是，LCO绘图",CONCATENATE(Lco瞬跳電流4,"A")," ")</f>
        <v>150A</v>
      </c>
      <c r="L77" s="112"/>
      <c r="M77" s="204" t="str">
        <f>IF(S36="是，LCO绘图",CONCATENATE(Lco瞬跳電流5,"A")," ")</f>
        <v>150A</v>
      </c>
      <c r="N77" s="112"/>
      <c r="O77" s="204" t="str">
        <f>IF(S43="是，LCO绘图",CONCATENATE(Lco瞬跳電流6,"A")," ")</f>
        <v>300A</v>
      </c>
      <c r="P77" s="205"/>
      <c r="X77" s="52"/>
      <c r="Y77" s="52"/>
    </row>
    <row r="78" spans="2:25" ht="16.5" customHeight="1" thickBot="1">
      <c r="B78" s="223"/>
      <c r="C78" s="216" t="s">
        <v>94</v>
      </c>
      <c r="D78" s="217"/>
      <c r="E78" s="218" t="str">
        <f>IF(S8="是，LCO绘图",CONCATENATE(t0one,"s(",W9,")")," ")</f>
        <v>0.5s(SIT)</v>
      </c>
      <c r="F78" s="219"/>
      <c r="G78" s="218" t="str">
        <f>IF(S15="是，LCO绘图",CONCATENATE(t0two,"s(",W16,")")," ")</f>
        <v>0.7s(SIT)</v>
      </c>
      <c r="H78" s="219"/>
      <c r="I78" s="218" t="str">
        <f>IF(S22="是，LCO绘图",CONCATENATE(t0three,"s(",W23,")")," ")</f>
        <v>0.9s(SIT)</v>
      </c>
      <c r="J78" s="219"/>
      <c r="K78" s="218" t="str">
        <f>IF(S29="是，LCO绘图",CONCATENATE(t0four,"s(",W30,")")," ")</f>
        <v>1.1s(SIT)</v>
      </c>
      <c r="L78" s="219"/>
      <c r="M78" s="218" t="str">
        <f>IF(S36="是，LCO绘图",CONCATENATE(t0five,"s(",W37,")")," ")</f>
        <v>1.3s(SIT)</v>
      </c>
      <c r="N78" s="219"/>
      <c r="O78" s="218" t="str">
        <f>IF(S43="是，LCO绘图",CONCATENATE(t0six,"s(",W44,")")," ")</f>
        <v>1.6s(SIT)</v>
      </c>
      <c r="P78" s="220"/>
      <c r="X78" s="52"/>
      <c r="Y78" s="52"/>
    </row>
    <row r="79" spans="2:25" ht="16.5" customHeight="1">
      <c r="B79" s="208"/>
      <c r="C79" s="208"/>
      <c r="D79" s="208"/>
      <c r="E79" s="208"/>
      <c r="F79" s="208"/>
      <c r="G79" s="208"/>
      <c r="H79" s="208"/>
      <c r="I79" s="208"/>
      <c r="J79" s="208"/>
      <c r="K79" s="208"/>
      <c r="L79" s="208"/>
      <c r="M79" s="208"/>
      <c r="N79" s="208"/>
      <c r="O79" s="208"/>
      <c r="P79" s="208"/>
    </row>
    <row r="80" spans="2:25" ht="16.5" customHeight="1">
      <c r="B80" s="209"/>
      <c r="C80" s="209"/>
      <c r="D80" s="209"/>
      <c r="E80" s="209"/>
      <c r="F80" s="209"/>
      <c r="G80" s="209"/>
      <c r="H80" s="209"/>
      <c r="I80" s="209"/>
      <c r="J80" s="209"/>
      <c r="K80" s="209"/>
      <c r="L80" s="209"/>
      <c r="M80" s="209"/>
      <c r="N80" s="209"/>
      <c r="O80" s="209"/>
      <c r="P80" s="209"/>
    </row>
    <row r="81" spans="2:18" ht="16.5" customHeight="1" thickBot="1"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</row>
    <row r="82" spans="2:18" ht="16.5" customHeight="1">
      <c r="B82" s="210" t="s">
        <v>181</v>
      </c>
      <c r="C82" s="211"/>
      <c r="D82" s="211"/>
      <c r="E82" s="211"/>
      <c r="F82" s="211"/>
      <c r="G82" s="211"/>
      <c r="H82" s="211"/>
      <c r="I82" s="211"/>
      <c r="J82" s="211"/>
      <c r="K82" s="211"/>
      <c r="L82" s="211"/>
      <c r="M82" s="211"/>
      <c r="N82" s="211"/>
      <c r="O82" s="211"/>
      <c r="P82" s="212"/>
      <c r="R82" s="52" t="s">
        <v>115</v>
      </c>
    </row>
    <row r="83" spans="2:18" ht="16.5" customHeight="1" thickBot="1">
      <c r="B83" s="213"/>
      <c r="C83" s="214"/>
      <c r="D83" s="214"/>
      <c r="E83" s="214"/>
      <c r="F83" s="214"/>
      <c r="G83" s="214"/>
      <c r="H83" s="214"/>
      <c r="I83" s="214"/>
      <c r="J83" s="214"/>
      <c r="K83" s="214"/>
      <c r="L83" s="214"/>
      <c r="M83" s="214"/>
      <c r="N83" s="214"/>
      <c r="O83" s="214"/>
      <c r="P83" s="215"/>
      <c r="R83" s="52" t="s">
        <v>116</v>
      </c>
    </row>
    <row r="84" spans="2:18" ht="16.5" customHeight="1">
      <c r="R84" s="52" t="s">
        <v>117</v>
      </c>
    </row>
    <row r="85" spans="2:18" ht="16.5" customHeight="1">
      <c r="B85" s="51" t="str">
        <f>CONCATENATE("--------------------",trname1,"破壞曲線")</f>
        <v>--------------------破壞曲線</v>
      </c>
      <c r="C85" s="51"/>
      <c r="D85" s="104" t="str">
        <f>CONCATENATE("--------------------",coname1)</f>
        <v>--------------------6kvC1变馈线</v>
      </c>
      <c r="E85" s="51"/>
      <c r="F85" s="104" t="str">
        <f>CONCATENATE("--------------------Lco-",coname1)</f>
        <v>--------------------Lco-6kvC1变馈线</v>
      </c>
      <c r="G85" s="51"/>
      <c r="H85" s="51"/>
      <c r="I85" s="51"/>
      <c r="J85" s="51"/>
      <c r="K85" s="51"/>
      <c r="L85" s="51"/>
      <c r="M85" s="51"/>
      <c r="N85" s="51"/>
      <c r="R85" s="52" t="s">
        <v>118</v>
      </c>
    </row>
    <row r="86" spans="2:18" ht="16.5" customHeight="1">
      <c r="B86" s="51"/>
      <c r="C86" s="51"/>
      <c r="D86" s="104" t="str">
        <f>CONCATENATE("--------------------",coname2)</f>
        <v>--------------------6kvC1变母联</v>
      </c>
      <c r="E86" s="51"/>
      <c r="F86" s="104" t="str">
        <f>CONCATENATE("--------------------Lco-",coname2)</f>
        <v>--------------------Lco-6kvC1变母联</v>
      </c>
      <c r="G86" s="51"/>
      <c r="H86" s="51"/>
      <c r="I86" s="51"/>
      <c r="J86" s="51"/>
      <c r="K86" s="51"/>
      <c r="L86" s="51"/>
      <c r="M86" s="51"/>
      <c r="N86" s="51"/>
      <c r="R86" s="52" t="s">
        <v>119</v>
      </c>
    </row>
    <row r="87" spans="2:18" ht="16.5" customHeight="1">
      <c r="B87" s="51"/>
      <c r="C87" s="51"/>
      <c r="D87" s="104" t="str">
        <f>CONCATENATE("--------------------",coname3)</f>
        <v>--------------------6kvC1变进线</v>
      </c>
      <c r="E87" s="51"/>
      <c r="F87" s="104" t="str">
        <f>CONCATENATE("--------------------Lco-",coname3)</f>
        <v>--------------------Lco-6kvC1变进线</v>
      </c>
      <c r="G87" s="51"/>
      <c r="H87" s="51"/>
      <c r="I87" s="51"/>
      <c r="J87" s="51"/>
      <c r="K87" s="51"/>
      <c r="L87" s="51"/>
      <c r="M87" s="51"/>
      <c r="N87" s="51"/>
      <c r="R87" s="52" t="s">
        <v>120</v>
      </c>
    </row>
    <row r="88" spans="2:18" ht="16.5" customHeight="1">
      <c r="B88" s="51"/>
      <c r="C88" s="51"/>
      <c r="D88" s="104" t="str">
        <f>CONCATENATE("--------------------",coname4)</f>
        <v>--------------------20Kv馈线</v>
      </c>
      <c r="E88" s="51"/>
      <c r="F88" s="104" t="str">
        <f>CONCATENATE("--------------------Lco-",coname4)</f>
        <v>--------------------Lco-20Kv馈线</v>
      </c>
      <c r="G88" s="51"/>
      <c r="H88" s="51"/>
      <c r="I88" s="51"/>
      <c r="J88" s="51"/>
      <c r="K88" s="51"/>
      <c r="L88" s="51"/>
      <c r="M88" s="51"/>
      <c r="N88" s="51"/>
      <c r="R88" s="52" t="s">
        <v>121</v>
      </c>
    </row>
    <row r="89" spans="2:18" ht="16.5" customHeight="1">
      <c r="B89" s="51"/>
      <c r="C89" s="51"/>
      <c r="D89" s="104" t="str">
        <f>CONCATENATE("--------------------",coname5)</f>
        <v>--------------------20Kv母联</v>
      </c>
      <c r="E89" s="51"/>
      <c r="F89" s="104" t="str">
        <f>CONCATENATE("--------------------Lco-",coname5)</f>
        <v>--------------------Lco-20Kv母联</v>
      </c>
      <c r="G89" s="51"/>
      <c r="H89" s="51"/>
      <c r="I89" s="51"/>
      <c r="J89" s="51"/>
      <c r="K89" s="51"/>
      <c r="L89" s="51"/>
      <c r="M89" s="51"/>
      <c r="N89" s="51"/>
      <c r="R89" s="52" t="s">
        <v>122</v>
      </c>
    </row>
    <row r="90" spans="2:18" ht="16.5" customHeight="1">
      <c r="B90" s="51"/>
      <c r="C90" s="51"/>
      <c r="D90" s="104" t="str">
        <f>CONCATENATE("--------------------",coname6)</f>
        <v>--------------------20Kv进线</v>
      </c>
      <c r="E90" s="51"/>
      <c r="F90" s="104" t="str">
        <f>CONCATENATE("--------------------Lco-",coname6)</f>
        <v>--------------------Lco-20Kv进线</v>
      </c>
      <c r="G90" s="51"/>
      <c r="H90" s="51"/>
      <c r="I90" s="51"/>
      <c r="J90" s="51"/>
      <c r="K90" s="51"/>
      <c r="L90" s="51"/>
      <c r="M90" s="51"/>
      <c r="N90" s="51"/>
      <c r="R90" s="52" t="s">
        <v>125</v>
      </c>
    </row>
    <row r="91" spans="2:18" ht="16.5" customHeight="1">
      <c r="B91" s="51"/>
      <c r="E91" s="51"/>
      <c r="H91" s="51"/>
      <c r="K91" s="51"/>
      <c r="N91" s="51"/>
    </row>
  </sheetData>
  <sheetProtection formatCells="0" formatColumns="0" formatRows="0" insertColumns="0" insertRows="0" insertHyperlinks="0" deleteColumns="0" deleteRows="0" sort="0" autoFilter="0" pivotTables="0"/>
  <mergeCells count="144">
    <mergeCell ref="G64:H64"/>
    <mergeCell ref="I64:J64"/>
    <mergeCell ref="K64:L64"/>
    <mergeCell ref="G65:H65"/>
    <mergeCell ref="O62:P62"/>
    <mergeCell ref="G63:H63"/>
    <mergeCell ref="I63:J63"/>
    <mergeCell ref="I62:J62"/>
    <mergeCell ref="K62:L62"/>
    <mergeCell ref="K63:L63"/>
    <mergeCell ref="B2:E3"/>
    <mergeCell ref="F2:P3"/>
    <mergeCell ref="B62:B69"/>
    <mergeCell ref="C62:D62"/>
    <mergeCell ref="E62:F62"/>
    <mergeCell ref="G62:H62"/>
    <mergeCell ref="O63:P63"/>
    <mergeCell ref="C64:D64"/>
    <mergeCell ref="E64:F64"/>
    <mergeCell ref="M62:N62"/>
    <mergeCell ref="M64:N64"/>
    <mergeCell ref="O64:P64"/>
    <mergeCell ref="C63:D63"/>
    <mergeCell ref="E63:F63"/>
    <mergeCell ref="M63:N63"/>
    <mergeCell ref="O65:P65"/>
    <mergeCell ref="C65:D65"/>
    <mergeCell ref="E65:F65"/>
    <mergeCell ref="I65:J65"/>
    <mergeCell ref="K65:L65"/>
    <mergeCell ref="M67:N67"/>
    <mergeCell ref="O67:P67"/>
    <mergeCell ref="O66:P66"/>
    <mergeCell ref="C66:D66"/>
    <mergeCell ref="E66:F66"/>
    <mergeCell ref="G66:H66"/>
    <mergeCell ref="I66:J66"/>
    <mergeCell ref="K66:L66"/>
    <mergeCell ref="M66:N66"/>
    <mergeCell ref="M65:N65"/>
    <mergeCell ref="C68:D68"/>
    <mergeCell ref="E68:F68"/>
    <mergeCell ref="G68:H68"/>
    <mergeCell ref="I68:J68"/>
    <mergeCell ref="K68:L68"/>
    <mergeCell ref="M68:N68"/>
    <mergeCell ref="G67:H67"/>
    <mergeCell ref="I67:J67"/>
    <mergeCell ref="K67:L67"/>
    <mergeCell ref="O68:P68"/>
    <mergeCell ref="C67:D67"/>
    <mergeCell ref="E67:F67"/>
    <mergeCell ref="O70:P70"/>
    <mergeCell ref="C71:D71"/>
    <mergeCell ref="C69:D69"/>
    <mergeCell ref="E69:F69"/>
    <mergeCell ref="G69:H69"/>
    <mergeCell ref="I69:J69"/>
    <mergeCell ref="K69:L69"/>
    <mergeCell ref="M69:N69"/>
    <mergeCell ref="M71:N71"/>
    <mergeCell ref="O71:P71"/>
    <mergeCell ref="O69:P69"/>
    <mergeCell ref="B70:B72"/>
    <mergeCell ref="C70:D70"/>
    <mergeCell ref="E70:F70"/>
    <mergeCell ref="G70:H70"/>
    <mergeCell ref="I70:J70"/>
    <mergeCell ref="K70:L70"/>
    <mergeCell ref="M70:N70"/>
    <mergeCell ref="E71:F71"/>
    <mergeCell ref="G71:H71"/>
    <mergeCell ref="I71:J71"/>
    <mergeCell ref="K71:L71"/>
    <mergeCell ref="O73:P73"/>
    <mergeCell ref="M72:N72"/>
    <mergeCell ref="C74:D74"/>
    <mergeCell ref="C72:D72"/>
    <mergeCell ref="E72:F72"/>
    <mergeCell ref="G72:H72"/>
    <mergeCell ref="I72:J72"/>
    <mergeCell ref="K72:L72"/>
    <mergeCell ref="E74:F74"/>
    <mergeCell ref="G74:H74"/>
    <mergeCell ref="I74:J74"/>
    <mergeCell ref="K74:L74"/>
    <mergeCell ref="M74:N74"/>
    <mergeCell ref="O74:P74"/>
    <mergeCell ref="O72:P72"/>
    <mergeCell ref="B73:B78"/>
    <mergeCell ref="C73:D73"/>
    <mergeCell ref="E73:F73"/>
    <mergeCell ref="G73:H73"/>
    <mergeCell ref="I73:J73"/>
    <mergeCell ref="K73:L73"/>
    <mergeCell ref="M73:N73"/>
    <mergeCell ref="G75:H75"/>
    <mergeCell ref="I75:J75"/>
    <mergeCell ref="K75:L75"/>
    <mergeCell ref="M75:N75"/>
    <mergeCell ref="G77:H77"/>
    <mergeCell ref="I77:J77"/>
    <mergeCell ref="O75:P75"/>
    <mergeCell ref="C76:D76"/>
    <mergeCell ref="E76:F76"/>
    <mergeCell ref="G76:H76"/>
    <mergeCell ref="I76:J76"/>
    <mergeCell ref="K76:L76"/>
    <mergeCell ref="B79:P80"/>
    <mergeCell ref="B82:P83"/>
    <mergeCell ref="C78:D78"/>
    <mergeCell ref="M76:N76"/>
    <mergeCell ref="O76:P76"/>
    <mergeCell ref="C75:D75"/>
    <mergeCell ref="E75:F75"/>
    <mergeCell ref="M78:N78"/>
    <mergeCell ref="O78:P78"/>
    <mergeCell ref="C77:D77"/>
    <mergeCell ref="K77:L77"/>
    <mergeCell ref="M77:N77"/>
    <mergeCell ref="O77:P77"/>
    <mergeCell ref="E78:F78"/>
    <mergeCell ref="G78:H78"/>
    <mergeCell ref="I78:J78"/>
    <mergeCell ref="K78:L78"/>
    <mergeCell ref="E77:F77"/>
    <mergeCell ref="S37:V37"/>
    <mergeCell ref="S44:V44"/>
    <mergeCell ref="R32:R37"/>
    <mergeCell ref="S36:U36"/>
    <mergeCell ref="R39:R44"/>
    <mergeCell ref="S43:U43"/>
    <mergeCell ref="R11:R16"/>
    <mergeCell ref="S15:U15"/>
    <mergeCell ref="S9:V9"/>
    <mergeCell ref="S16:V16"/>
    <mergeCell ref="R4:R9"/>
    <mergeCell ref="S8:U8"/>
    <mergeCell ref="R25:R30"/>
    <mergeCell ref="S29:U29"/>
    <mergeCell ref="S23:V23"/>
    <mergeCell ref="S30:V30"/>
    <mergeCell ref="R18:R23"/>
    <mergeCell ref="S22:U22"/>
  </mergeCells>
  <phoneticPr fontId="1" type="noConversion"/>
  <dataValidations count="4">
    <dataValidation type="list" allowBlank="1" showInputMessage="1" showErrorMessage="1" sqref="W2">
      <formula1>$AJ$2:$AJ$5</formula1>
    </dataValidation>
    <dataValidation type="list" allowBlank="1" showInputMessage="1" showErrorMessage="1" sqref="S35 S28 S7 S14 S21 W30 W37 W9 W16 W23 S42 W44">
      <formula1>$AJ$20:$AJ$23</formula1>
    </dataValidation>
    <dataValidation type="list" allowBlank="1" showInputMessage="1" showErrorMessage="1" sqref="S36:U36 S29:U29 S8:U8 S15:U15 S22:U22 S43:U43">
      <formula1>$AJ$24:$AJ$26</formula1>
    </dataValidation>
    <dataValidation type="list" allowBlank="1" showInputMessage="1" showErrorMessage="1" sqref="S37 S16 S23 S9 S30 S44:V44">
      <formula1>$AL$20:$AL$26</formula1>
    </dataValidation>
  </dataValidations>
  <printOptions horizontalCentered="1" verticalCentered="1"/>
  <pageMargins left="0" right="0" top="0" bottom="0" header="0" footer="0"/>
  <pageSetup paperSize="9" scale="66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3" workbookViewId="0">
      <selection activeCell="T26" sqref="T26"/>
    </sheetView>
  </sheetViews>
  <sheetFormatPr defaultRowHeight="16.5"/>
  <sheetData/>
  <phoneticPr fontId="3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140</vt:i4>
      </vt:variant>
    </vt:vector>
  </HeadingPairs>
  <TitlesOfParts>
    <vt:vector size="145" baseType="lpstr">
      <vt:lpstr>曲線Lever計算</vt:lpstr>
      <vt:lpstr>CO表單</vt:lpstr>
      <vt:lpstr>LCO表單</vt:lpstr>
      <vt:lpstr>协调曲线图</vt:lpstr>
      <vt:lpstr>曲线</vt:lpstr>
      <vt:lpstr>_IIT01</vt:lpstr>
      <vt:lpstr>_IIT02</vt:lpstr>
      <vt:lpstr>_IIT03</vt:lpstr>
      <vt:lpstr>_IIT04</vt:lpstr>
      <vt:lpstr>_IIT05</vt:lpstr>
      <vt:lpstr>_IIT06</vt:lpstr>
      <vt:lpstr>_Ts01</vt:lpstr>
      <vt:lpstr>_Ts02</vt:lpstr>
      <vt:lpstr>_Ts03</vt:lpstr>
      <vt:lpstr>_Ts04</vt:lpstr>
      <vt:lpstr>_Ts05</vt:lpstr>
      <vt:lpstr>_Ts06</vt:lpstr>
      <vt:lpstr>_Ts1</vt:lpstr>
      <vt:lpstr>_Ts2</vt:lpstr>
      <vt:lpstr>_Ts3</vt:lpstr>
      <vt:lpstr>_Ts4</vt:lpstr>
      <vt:lpstr>_Ts5</vt:lpstr>
      <vt:lpstr>_Ts6</vt:lpstr>
      <vt:lpstr>alfa01</vt:lpstr>
      <vt:lpstr>alfa02</vt:lpstr>
      <vt:lpstr>alfa03</vt:lpstr>
      <vt:lpstr>alfa04</vt:lpstr>
      <vt:lpstr>alfa05</vt:lpstr>
      <vt:lpstr>alfa06</vt:lpstr>
      <vt:lpstr>alfa1</vt:lpstr>
      <vt:lpstr>alfa2</vt:lpstr>
      <vt:lpstr>alfa3</vt:lpstr>
      <vt:lpstr>alfa4</vt:lpstr>
      <vt:lpstr>alfa5</vt:lpstr>
      <vt:lpstr>alfa6</vt:lpstr>
      <vt:lpstr>beta01</vt:lpstr>
      <vt:lpstr>beta02</vt:lpstr>
      <vt:lpstr>beta03</vt:lpstr>
      <vt:lpstr>beta04</vt:lpstr>
      <vt:lpstr>beta05</vt:lpstr>
      <vt:lpstr>beta06</vt:lpstr>
      <vt:lpstr>beta1</vt:lpstr>
      <vt:lpstr>beta2</vt:lpstr>
      <vt:lpstr>beta3</vt:lpstr>
      <vt:lpstr>beta4</vt:lpstr>
      <vt:lpstr>beta5</vt:lpstr>
      <vt:lpstr>beta6</vt:lpstr>
      <vt:lpstr>cokva1</vt:lpstr>
      <vt:lpstr>cokva2</vt:lpstr>
      <vt:lpstr>cokva3</vt:lpstr>
      <vt:lpstr>cokva4</vt:lpstr>
      <vt:lpstr>cokva5</vt:lpstr>
      <vt:lpstr>cokva6</vt:lpstr>
      <vt:lpstr>coname1</vt:lpstr>
      <vt:lpstr>coname2</vt:lpstr>
      <vt:lpstr>coname3</vt:lpstr>
      <vt:lpstr>coname4</vt:lpstr>
      <vt:lpstr>coname5</vt:lpstr>
      <vt:lpstr>coname6</vt:lpstr>
      <vt:lpstr>covb1</vt:lpstr>
      <vt:lpstr>covb2</vt:lpstr>
      <vt:lpstr>covb3</vt:lpstr>
      <vt:lpstr>covb4</vt:lpstr>
      <vt:lpstr>covb5</vt:lpstr>
      <vt:lpstr>covb6</vt:lpstr>
      <vt:lpstr>covt1</vt:lpstr>
      <vt:lpstr>covt2</vt:lpstr>
      <vt:lpstr>covt3</vt:lpstr>
      <vt:lpstr>covt4</vt:lpstr>
      <vt:lpstr>covt5</vt:lpstr>
      <vt:lpstr>covt6</vt:lpstr>
      <vt:lpstr>inrush6</vt:lpstr>
      <vt:lpstr>k0five</vt:lpstr>
      <vt:lpstr>k0four</vt:lpstr>
      <vt:lpstr>k0one</vt:lpstr>
      <vt:lpstr>k0six</vt:lpstr>
      <vt:lpstr>k0three</vt:lpstr>
      <vt:lpstr>k0two</vt:lpstr>
      <vt:lpstr>kfive</vt:lpstr>
      <vt:lpstr>kfour</vt:lpstr>
      <vt:lpstr>kone</vt:lpstr>
      <vt:lpstr>ksix</vt:lpstr>
      <vt:lpstr>kthree</vt:lpstr>
      <vt:lpstr>ktwo</vt:lpstr>
      <vt:lpstr>Lco瞬跳時間1</vt:lpstr>
      <vt:lpstr>Lco瞬跳時間2</vt:lpstr>
      <vt:lpstr>Lco瞬跳時間3</vt:lpstr>
      <vt:lpstr>Lco瞬跳時間4</vt:lpstr>
      <vt:lpstr>Lco瞬跳時間5</vt:lpstr>
      <vt:lpstr>Lco瞬跳時間6</vt:lpstr>
      <vt:lpstr>Lever1</vt:lpstr>
      <vt:lpstr>Lever2</vt:lpstr>
      <vt:lpstr>Lever3</vt:lpstr>
      <vt:lpstr>Lever4</vt:lpstr>
      <vt:lpstr>Lever5</vt:lpstr>
      <vt:lpstr>Lever6</vt:lpstr>
      <vt:lpstr>L百分1</vt:lpstr>
      <vt:lpstr>L百分2</vt:lpstr>
      <vt:lpstr>L百分3</vt:lpstr>
      <vt:lpstr>L百分4</vt:lpstr>
      <vt:lpstr>L百分5</vt:lpstr>
      <vt:lpstr>L百分6</vt:lpstr>
      <vt:lpstr>CO表單!Print_Area</vt:lpstr>
      <vt:lpstr>LCO表單!Print_Area</vt:lpstr>
      <vt:lpstr>协调曲线图!Print_Area</vt:lpstr>
      <vt:lpstr>tfive</vt:lpstr>
      <vt:lpstr>tfour</vt:lpstr>
      <vt:lpstr>tone</vt:lpstr>
      <vt:lpstr>trkva1</vt:lpstr>
      <vt:lpstr>trname1</vt:lpstr>
      <vt:lpstr>trvb1</vt:lpstr>
      <vt:lpstr>trvt1</vt:lpstr>
      <vt:lpstr>tsix</vt:lpstr>
      <vt:lpstr>tthree</vt:lpstr>
      <vt:lpstr>ttwo</vt:lpstr>
      <vt:lpstr>二次側1</vt:lpstr>
      <vt:lpstr>二次側2</vt:lpstr>
      <vt:lpstr>二次側3</vt:lpstr>
      <vt:lpstr>二次側4</vt:lpstr>
      <vt:lpstr>二次側5</vt:lpstr>
      <vt:lpstr>二次側6</vt:lpstr>
      <vt:lpstr>輸入瞬跳電流1</vt:lpstr>
      <vt:lpstr>輸入瞬跳電流2</vt:lpstr>
      <vt:lpstr>輸入瞬跳電流3</vt:lpstr>
      <vt:lpstr>輸入瞬跳電流4</vt:lpstr>
      <vt:lpstr>輸入瞬跳電流5</vt:lpstr>
      <vt:lpstr>輸入瞬跳電流6</vt:lpstr>
      <vt:lpstr>瞬跳電流1</vt:lpstr>
      <vt:lpstr>瞬跳電流2</vt:lpstr>
      <vt:lpstr>瞬跳電流3</vt:lpstr>
      <vt:lpstr>瞬跳電流4</vt:lpstr>
      <vt:lpstr>瞬跳電流5</vt:lpstr>
      <vt:lpstr>瞬跳電流6</vt:lpstr>
      <vt:lpstr>瞬跳時間1</vt:lpstr>
      <vt:lpstr>瞬跳時間2</vt:lpstr>
      <vt:lpstr>瞬跳時間3</vt:lpstr>
      <vt:lpstr>瞬跳時間4</vt:lpstr>
      <vt:lpstr>瞬跳時間5</vt:lpstr>
      <vt:lpstr>瞬跳時間6</vt:lpstr>
      <vt:lpstr>一次側1</vt:lpstr>
      <vt:lpstr>一次側2</vt:lpstr>
      <vt:lpstr>一次側3</vt:lpstr>
      <vt:lpstr>一次側4</vt:lpstr>
      <vt:lpstr>一次側5</vt:lpstr>
      <vt:lpstr>一次側6</vt:lpstr>
    </vt:vector>
  </TitlesOfParts>
  <Company>888TIGER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TIGER-XP</dc:creator>
  <cp:lastModifiedBy>sjq</cp:lastModifiedBy>
  <cp:lastPrinted>2010-01-08T06:04:08Z</cp:lastPrinted>
  <dcterms:created xsi:type="dcterms:W3CDTF">2007-09-29T07:30:53Z</dcterms:created>
  <dcterms:modified xsi:type="dcterms:W3CDTF">2021-09-17T01:40:45Z</dcterms:modified>
</cp:coreProperties>
</file>